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activeTab="0"/>
  </bookViews>
  <sheets>
    <sheet name="Instructions" sheetId="1" r:id="rId1"/>
    <sheet name="Rural Divided Multilane Seg" sheetId="2" r:id="rId2"/>
    <sheet name="Rural Undivided Multilane Seg" sheetId="3" r:id="rId3"/>
    <sheet name="Segment Tables" sheetId="4" r:id="rId4"/>
    <sheet name="Rural Multilane Intersection" sheetId="5" r:id="rId5"/>
    <sheet name="Intersection Tables" sheetId="6" r:id="rId6"/>
    <sheet name="Rural Multilane Site Total" sheetId="7" r:id="rId7"/>
    <sheet name="Rural Multilane Project Total" sheetId="8" r:id="rId8"/>
    <sheet name="Construction" sheetId="9" r:id="rId9"/>
  </sheets>
  <definedNames>
    <definedName name="CRumble">'Construction'!$H$17:$H$18</definedName>
    <definedName name="Differ">'Construction'!$L$29:$L$30</definedName>
    <definedName name="Division">'Construction'!$F$37:$F$38</definedName>
    <definedName name="IApproach">'Construction'!$L$37:$L$39</definedName>
    <definedName name="ILight">'Construction'!$J$29:$J$30</definedName>
    <definedName name="IType">'Construction'!$D$29:$D$31</definedName>
    <definedName name="LApproach">'Construction'!$F$29:$F$33</definedName>
    <definedName name="Lighting">'Construction'!$H$23:$H$24</definedName>
    <definedName name="Local">'Construction'!$L$16:$L$17</definedName>
    <definedName name="LWidth">'Construction'!$B$4:$B$10</definedName>
    <definedName name="MWidth">'Construction'!$D$37:$D$46</definedName>
    <definedName name="Not_Present">#REF!</definedName>
    <definedName name="PLane">'Construction'!$J$17:$J$18</definedName>
    <definedName name="PLane2">'Construction'!$J$17:$J$19</definedName>
    <definedName name="RApproach">'Construction'!$H$29:$H$33</definedName>
    <definedName name="RHR">'Construction'!$F$4:$F$10</definedName>
    <definedName name="RtApproach">'Construction'!$N$37:$N$41</definedName>
    <definedName name="Shld2">'Construction'!$J$37:$J$47</definedName>
    <definedName name="Shld3">'Construction'!$P$37:$P$45</definedName>
    <definedName name="SpEnforce">'Construction'!$J$23:$J$24</definedName>
    <definedName name="Spiral">'Construction'!$F$17:$F$18</definedName>
    <definedName name="SSlope">'Construction'!$H$37:$H$42</definedName>
    <definedName name="SSlope2">'Construction'!$H$37:$H$42</definedName>
    <definedName name="SType">'Construction'!$D$17:$D$20</definedName>
    <definedName name="SWidth">'Construction'!$D$4:$D$12</definedName>
    <definedName name="TWLTL">'Construction'!$F$23:$F$24</definedName>
  </definedNames>
  <calcPr fullCalcOnLoad="1"/>
</workbook>
</file>

<file path=xl/sharedStrings.xml><?xml version="1.0" encoding="utf-8"?>
<sst xmlns="http://schemas.openxmlformats.org/spreadsheetml/2006/main" count="1056" uniqueCount="479">
  <si>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</si>
  <si>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</si>
  <si>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</si>
  <si>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</si>
  <si>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</si>
  <si>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</si>
  <si>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</si>
  <si>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</si>
  <si>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</si>
  <si>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</si>
  <si>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</si>
  <si>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</si>
  <si>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</si>
  <si>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</si>
  <si>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</si>
  <si>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</si>
  <si>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</si>
  <si>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</si>
  <si>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</si>
  <si>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</si>
  <si>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</si>
  <si>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</si>
  <si>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</si>
  <si>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</si>
  <si>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</si>
  <si>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</si>
  <si>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</si>
  <si>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</si>
  <si>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</si>
  <si>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</si>
  <si>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</si>
  <si>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</si>
  <si>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</si>
  <si>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</si>
  <si>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</si>
  <si>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</si>
  <si>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</si>
  <si>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</si>
  <si>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</si>
  <si>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</si>
  <si>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</si>
  <si>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</si>
  <si>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</si>
  <si>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</si>
  <si>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r>
      <t>Proportion of Collision Type</t>
    </r>
    <r>
      <rPr>
        <b/>
        <sz val="6"/>
        <rFont val="Arial"/>
        <family val="2"/>
      </rPr>
      <t>(TOTAL)</t>
    </r>
  </si>
  <si>
    <t>Angle collision</t>
  </si>
  <si>
    <t>Head-on collision</t>
  </si>
  <si>
    <t>Rear-end collision</t>
  </si>
  <si>
    <t>Sideswipe collision</t>
  </si>
  <si>
    <t>Crash severity level</t>
  </si>
  <si>
    <t>Predicted average crash frequency (crashes/year)</t>
  </si>
  <si>
    <t>Roadway segment length (mi)</t>
  </si>
  <si>
    <t>Crash rate (crashes/mi/year)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</si>
  <si>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</si>
  <si>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</si>
  <si>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</si>
  <si>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</si>
  <si>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</si>
  <si>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</si>
  <si>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</si>
  <si>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</si>
  <si>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</si>
  <si>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HSM-Provided Values</t>
  </si>
  <si>
    <t>Locally-Derived Values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</si>
  <si>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</si>
  <si>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</si>
  <si>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</si>
  <si>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</si>
  <si>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</si>
  <si>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</si>
  <si>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</si>
  <si>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</si>
  <si>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</si>
  <si>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</si>
  <si>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</si>
  <si>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</si>
  <si>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</si>
  <si>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</si>
  <si>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</si>
  <si>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Four-leg signalized intersections</t>
  </si>
  <si>
    <t>Fatal and injury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</si>
  <si>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</si>
  <si>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</si>
  <si>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</si>
  <si>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Proportion of crashes that occur at night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</si>
  <si>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</si>
  <si>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</si>
  <si>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</si>
  <si>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</si>
  <si>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</si>
  <si>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</si>
  <si>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</si>
  <si>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</si>
  <si>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0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</si>
  <si>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</si>
  <si>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</si>
  <si>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</si>
  <si>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</si>
  <si>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</si>
  <si>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</si>
  <si>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</si>
  <si>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</si>
  <si>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</si>
  <si>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</si>
  <si>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</si>
  <si>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</si>
  <si>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</si>
  <si>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</si>
  <si>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</si>
  <si>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</si>
  <si>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</si>
  <si>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</si>
  <si>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Worksheet 1A -- General Information and Input Data for Rural Multilane Roadway Segments</t>
  </si>
  <si>
    <t>Lighting (present/not present)</t>
  </si>
  <si>
    <t>Side Slopes - for undivided only</t>
  </si>
  <si>
    <t>1:7 or flatter</t>
  </si>
  <si>
    <t>Median width (ft) - for divided only</t>
  </si>
  <si>
    <t>Shoulder type - right shoulder type for divided</t>
  </si>
  <si>
    <t>Shoulder width (ft) - right shoulder width for divided</t>
  </si>
  <si>
    <t>Roadway type (divided / undivided)</t>
  </si>
  <si>
    <t>Worksheet 1B (a) -- Crash Modification Factors for Rural Multilane Divided Roadway Segments</t>
  </si>
  <si>
    <t>CMF for Right Shoulder Width</t>
  </si>
  <si>
    <t>CMF for Median Width</t>
  </si>
  <si>
    <t>CMF 1rd</t>
  </si>
  <si>
    <t>CMF 2rd</t>
  </si>
  <si>
    <t>CMF 3rd</t>
  </si>
  <si>
    <t>CMF 4rd</t>
  </si>
  <si>
    <t>CMF 5rd</t>
  </si>
  <si>
    <t>from Equation 11-16</t>
  </si>
  <si>
    <t>from Equation 11-17</t>
  </si>
  <si>
    <t>from Section 11.7.2</t>
  </si>
  <si>
    <t>(1)*(2)*(3)*(4)*(5)</t>
  </si>
  <si>
    <t>Worksheet 1B (b) -- Crash Modification Factors for Rural Multilane Undivided Roadway Segments</t>
  </si>
  <si>
    <t>CMF 1ru</t>
  </si>
  <si>
    <t>from Equation 11-13</t>
  </si>
  <si>
    <t>CMF for Shoulder Width</t>
  </si>
  <si>
    <t>CMF 2ru</t>
  </si>
  <si>
    <t>from Equation 11-14</t>
  </si>
  <si>
    <t>CMF for Side Slopes</t>
  </si>
  <si>
    <t>CMF 3ru</t>
  </si>
  <si>
    <t>CMF 4ru</t>
  </si>
  <si>
    <t>from Equation 11-15</t>
  </si>
  <si>
    <t>from Section 11.7.1</t>
  </si>
  <si>
    <t>CMF 5ru</t>
  </si>
  <si>
    <t>Worksheet 1C (a) -- Roadway Segment Crashes for Rural Multilane Divided Roadway Segments</t>
  </si>
  <si>
    <t>SPF Coefficients</t>
  </si>
  <si>
    <t>a</t>
  </si>
  <si>
    <t>b</t>
  </si>
  <si>
    <t>c</t>
  </si>
  <si>
    <t>from Equation 11-9</t>
  </si>
  <si>
    <t>from Equation 11-10</t>
  </si>
  <si>
    <t>(6) from Worksheet   1B (a)</t>
  </si>
  <si>
    <t>(3)*(5)*(6)</t>
  </si>
  <si>
    <r>
      <t>Fatal and Injury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</si>
  <si>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(7)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- (7)</t>
    </r>
    <r>
      <rPr>
        <vertAlign val="subscript"/>
        <sz val="10"/>
        <rFont val="Arial"/>
        <family val="2"/>
      </rPr>
      <t>FI</t>
    </r>
  </si>
  <si>
    <r>
      <t xml:space="preserve">NOTE: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Using the KABCO scale, these include only KAB crashes. Crashes with severity level C (possible injury) are not included.</t>
    </r>
  </si>
  <si>
    <t>Worksheet 1C (b) -- Roadway Segment Crashes for Rural Multilane Undivided Roadway Segments</t>
  </si>
  <si>
    <t>from Equation 11-7</t>
  </si>
  <si>
    <t>from Equation 11-8</t>
  </si>
  <si>
    <t>(6) from Worksheet   1B (b)</t>
  </si>
  <si>
    <t>Worksheet 1D (a) -- Crashes by Severity Level and Collision Type for Rural Multilane Divided Roadway Segments</t>
  </si>
  <si>
    <r>
      <t>Proportion of Collision Type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</si>
  <si>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r>
      <t>Proportion of Collision Type (PDO</t>
    </r>
    <r>
      <rPr>
        <b/>
        <sz val="10"/>
        <rFont val="Arial"/>
        <family val="2"/>
      </rPr>
      <t>)</t>
    </r>
  </si>
  <si>
    <r>
      <t xml:space="preserve">N </t>
    </r>
    <r>
      <rPr>
        <b/>
        <i/>
        <sz val="10"/>
        <rFont val="Arial"/>
        <family val="2"/>
      </rPr>
      <t>predicted rs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</si>
  <si>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</si>
  <si>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(a)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</si>
  <si>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</si>
  <si>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(a)</t>
    </r>
  </si>
  <si>
    <r>
      <t>(2)*(3)</t>
    </r>
    <r>
      <rPr>
        <vertAlign val="subscript"/>
        <sz val="10"/>
        <rFont val="Arial"/>
        <family val="2"/>
      </rPr>
      <t>TOTAL</t>
    </r>
  </si>
  <si>
    <r>
      <t>(4)x(5)</t>
    </r>
    <r>
      <rPr>
        <vertAlign val="subscript"/>
        <sz val="10"/>
        <rFont val="Arial"/>
        <family val="2"/>
      </rPr>
      <t>FI</t>
    </r>
  </si>
  <si>
    <r>
      <t>(6)*(7)</t>
    </r>
    <r>
      <rPr>
        <vertAlign val="subscript"/>
        <sz val="10"/>
        <rFont val="Arial"/>
        <family val="2"/>
      </rPr>
      <t xml:space="preserve"> FI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</si>
  <si>
    <r>
      <t xml:space="preserve">(8)*(9) </t>
    </r>
    <r>
      <rPr>
        <vertAlign val="subscript"/>
        <sz val="10"/>
        <rFont val="Arial"/>
        <family val="2"/>
      </rPr>
      <t>PDO</t>
    </r>
  </si>
  <si>
    <t>Single-vehicle collision</t>
  </si>
  <si>
    <t>Other collision</t>
  </si>
  <si>
    <t>Worksheet 1D (b) -- Crashes by Severity Level and Collision Type for Rural Multilane Undivided Roadway Segments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</si>
  <si>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</si>
  <si>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(b)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</si>
  <si>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</si>
  <si>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(b)</t>
    </r>
  </si>
  <si>
    <t>Worksheet 1E -- Summary Results for Rural Multilane Roadway Segments</t>
  </si>
  <si>
    <t>(7) from Worksheet 1C (a) or (b)</t>
  </si>
  <si>
    <t>(2)/(3)</t>
  </si>
  <si>
    <t>Mwidth</t>
  </si>
  <si>
    <t>Divided</t>
  </si>
  <si>
    <t>Undivided</t>
  </si>
  <si>
    <t>Division</t>
  </si>
  <si>
    <t>Proportion of crashes by collision type and crash severity level</t>
  </si>
  <si>
    <t>Head-on</t>
  </si>
  <si>
    <t>Sideswipe</t>
  </si>
  <si>
    <t>Rear-end</t>
  </si>
  <si>
    <t>Angle</t>
  </si>
  <si>
    <t>Single</t>
  </si>
  <si>
    <t>Other</t>
  </si>
  <si>
    <r>
      <t xml:space="preserve">Fatal and injury </t>
    </r>
    <r>
      <rPr>
        <vertAlign val="superscript"/>
        <sz val="10"/>
        <rFont val="Arial"/>
        <family val="2"/>
      </rPr>
      <t>a</t>
    </r>
  </si>
  <si>
    <t>PDO</t>
  </si>
  <si>
    <r>
      <t>Calculated Shoulder Width (CMF</t>
    </r>
    <r>
      <rPr>
        <vertAlign val="subscript"/>
        <sz val="10"/>
        <rFont val="Arial"/>
        <family val="2"/>
      </rPr>
      <t>wrc</t>
    </r>
    <r>
      <rPr>
        <sz val="10"/>
        <rFont val="Arial"/>
        <family val="2"/>
      </rPr>
      <t>) :</t>
    </r>
  </si>
  <si>
    <r>
      <t>Calculated Shoulder Type (CMF</t>
    </r>
    <r>
      <rPr>
        <vertAlign val="subscript"/>
        <sz val="10"/>
        <rFont val="Arial"/>
        <family val="2"/>
      </rPr>
      <t xml:space="preserve"> trc</t>
    </r>
    <r>
      <rPr>
        <sz val="10"/>
        <rFont val="Arial"/>
        <family val="0"/>
      </rPr>
      <t>) :</t>
    </r>
  </si>
  <si>
    <t>1:2 or Steeper</t>
  </si>
  <si>
    <t>1:4</t>
  </si>
  <si>
    <t>1:5</t>
  </si>
  <si>
    <t>1:6</t>
  </si>
  <si>
    <t>1:7 or Flatter</t>
  </si>
  <si>
    <t>Proportion of total night-time crashes by severity level</t>
  </si>
  <si>
    <r>
      <t>Fatal and injury, p</t>
    </r>
    <r>
      <rPr>
        <vertAlign val="subscript"/>
        <sz val="10"/>
        <rFont val="Arial"/>
        <family val="2"/>
      </rPr>
      <t>inr</t>
    </r>
  </si>
  <si>
    <r>
      <t>PDO, p</t>
    </r>
    <r>
      <rPr>
        <vertAlign val="subscript"/>
        <sz val="10"/>
        <rFont val="Arial"/>
        <family val="2"/>
      </rPr>
      <t>pnr</t>
    </r>
  </si>
  <si>
    <r>
      <t>p</t>
    </r>
    <r>
      <rPr>
        <vertAlign val="subscript"/>
        <sz val="10"/>
        <rFont val="Arial"/>
        <family val="2"/>
      </rPr>
      <t>nr</t>
    </r>
  </si>
  <si>
    <t>4U</t>
  </si>
  <si>
    <t>Not Applicable</t>
  </si>
  <si>
    <t>Shld2</t>
  </si>
  <si>
    <t>Average Shoulder Width (ft)</t>
  </si>
  <si>
    <t>CMF</t>
  </si>
  <si>
    <t>4D</t>
  </si>
  <si>
    <t>SV run-off-rd, Head-on, Sideswipe</t>
  </si>
  <si>
    <t>Worksheet 2A -- General Information and Input Data for Rural Multilane Highway Intersections</t>
  </si>
  <si>
    <t>Worksheet 2B -- Crash Modification Factors for Rural Multilane Highway Intersections</t>
  </si>
  <si>
    <t>(2)*(3)*(4)*(5)</t>
  </si>
  <si>
    <r>
      <t xml:space="preserve">CMF for Intersection Skew Angle (CMF </t>
    </r>
    <r>
      <rPr>
        <vertAlign val="subscript"/>
        <sz val="10"/>
        <rFont val="Arial"/>
        <family val="2"/>
      </rPr>
      <t>1i</t>
    </r>
    <r>
      <rPr>
        <sz val="10"/>
        <rFont val="Arial"/>
        <family val="2"/>
      </rPr>
      <t xml:space="preserve"> )</t>
    </r>
  </si>
  <si>
    <t>from Equations 11-18 or 11-20 and 11-19 or     11-21</t>
  </si>
  <si>
    <t>Worksheet 2C -- Intersection Crashes for Rural Multilane Highway Intersections</t>
  </si>
  <si>
    <r>
      <t xml:space="preserve">N </t>
    </r>
    <r>
      <rPr>
        <b/>
        <vertAlign val="subscript"/>
        <sz val="10"/>
        <rFont val="Arial"/>
        <family val="2"/>
      </rPr>
      <t>spf int</t>
    </r>
  </si>
  <si>
    <t>from Equation 11-11 or 11-12</t>
  </si>
  <si>
    <t>from (6) of Worksheet 2B</t>
  </si>
  <si>
    <r>
      <t>Calibration Factor, C</t>
    </r>
    <r>
      <rPr>
        <b/>
        <vertAlign val="subscript"/>
        <sz val="10"/>
        <rFont val="Arial"/>
        <family val="2"/>
      </rPr>
      <t>i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</si>
  <si>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int</t>
    </r>
  </si>
  <si>
    <t>Worksheet 2D -- Crashes by Severity Level and Collision Type for Rural Multilane Highway Intersections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</si>
  <si>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</si>
  <si>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</si>
  <si>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</si>
  <si>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</si>
  <si>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vertAlign val="subscript"/>
        <sz val="10"/>
        <rFont val="Arial"/>
        <family val="2"/>
      </rPr>
      <t>predicted int</t>
    </r>
    <r>
      <rPr>
        <b/>
        <vertAlign val="subscript"/>
        <sz val="10"/>
        <rFont val="Arial"/>
        <family val="2"/>
      </rPr>
      <t xml:space="preserve"> (PDO) </t>
    </r>
    <r>
      <rPr>
        <b/>
        <sz val="10"/>
        <rFont val="Arial"/>
        <family val="2"/>
      </rPr>
      <t>(crashes/year)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</si>
  <si>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</si>
  <si>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t>Worksheet 2E -- Summary Results for Rural Multilane Highway Intersections</t>
  </si>
  <si>
    <t>(7) from Worksheet 2C</t>
  </si>
  <si>
    <t>Iapproach</t>
  </si>
  <si>
    <t>Number of non-STOP-controlled approaches with left-turn lanes (0, 1, 2)</t>
  </si>
  <si>
    <r>
      <t>p</t>
    </r>
    <r>
      <rPr>
        <vertAlign val="subscript"/>
        <sz val="10"/>
        <rFont val="Arial"/>
        <family val="2"/>
      </rPr>
      <t>ni</t>
    </r>
  </si>
  <si>
    <r>
      <t>Fatal and injury, p</t>
    </r>
    <r>
      <rPr>
        <vertAlign val="subscript"/>
        <sz val="10"/>
        <rFont val="Arial"/>
        <family val="2"/>
      </rPr>
      <t>ini</t>
    </r>
  </si>
  <si>
    <t>c or d (4SG)</t>
  </si>
  <si>
    <t>Four-leg intersections with minor road stop control</t>
  </si>
  <si>
    <t>Three-leg intersections with minor road stop control</t>
  </si>
  <si>
    <t>Worksheet 4A -- Predicted and Observed Crashes by Severity and Site Type Using the Project-Level EB Method</t>
  </si>
  <si>
    <t>Site type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</si>
  <si>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</si>
  <si>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</si>
  <si>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</si>
  <si>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</si>
  <si>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</si>
  <si>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ROADWAY SEGMENTS</t>
  </si>
  <si>
    <t>INTERSECTIONS</t>
  </si>
  <si>
    <t>Segment 3</t>
  </si>
  <si>
    <t>Segment 4</t>
  </si>
  <si>
    <t>Segment 5</t>
  </si>
  <si>
    <t>Segment 6</t>
  </si>
  <si>
    <t>Segment 7</t>
  </si>
  <si>
    <t>Segment 8</t>
  </si>
  <si>
    <t>Intersection 3</t>
  </si>
  <si>
    <t>Intersection 4</t>
  </si>
  <si>
    <t>Intersection 5</t>
  </si>
  <si>
    <t>Intersection 6</t>
  </si>
  <si>
    <t>Intersection 7</t>
  </si>
  <si>
    <t>Intersection 8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</si>
  <si>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</si>
  <si>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</si>
  <si>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</si>
  <si>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</si>
  <si>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</si>
  <si>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</si>
  <si>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</si>
  <si>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</si>
  <si>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</si>
  <si>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</si>
  <si>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</si>
  <si>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</si>
  <si>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N</t>
    </r>
    <r>
      <rPr>
        <b/>
        <vertAlign val="subscript"/>
        <sz val="10"/>
        <rFont val="Arial"/>
        <family val="2"/>
      </rPr>
      <t>p/comb</t>
    </r>
  </si>
  <si>
    <t>Equation   A-14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</si>
  <si>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</si>
  <si>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Segment 1 (Divided)</t>
  </si>
  <si>
    <t>Worksheet 3A -- Predicted and Observed Crashes by Severity and Site Type Using the Site-Specific EB Method</t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</si>
  <si>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</si>
  <si>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</si>
  <si>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t>Equation A-5 from Part C Appendix</t>
  </si>
  <si>
    <t>Equation   A-4 from Part C Appendix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</si>
  <si>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</si>
  <si>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</si>
  <si>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</si>
  <si>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</si>
  <si>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</si>
  <si>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</si>
  <si>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</si>
  <si>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</si>
  <si>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</si>
  <si>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</si>
  <si>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</si>
  <si>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Segment 2 (Undivided)</t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</si>
  <si>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</si>
  <si>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</si>
  <si>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</si>
  <si>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</si>
  <si>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</si>
  <si>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</si>
  <si>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This spreadsheet has been developed to demonstrate the predictive models</t>
  </si>
  <si>
    <t>for rural multilane highways as contained in the new Highway Safety Manual.</t>
  </si>
  <si>
    <t>The content was developed for training purposes and all users should</t>
  </si>
  <si>
    <t>verify that the answers they obtain with these worksheets correctly</t>
  </si>
  <si>
    <t>represent their target analysis.</t>
  </si>
  <si>
    <t>that can be performed using this spreadsheet tool and the HSM predictive</t>
  </si>
  <si>
    <t>methods. A user can evaluate an individual road segment or intersection as</t>
  </si>
  <si>
    <t>well as analyze multiple road segments and intersections. If more than one</t>
  </si>
  <si>
    <t xml:space="preserve">segment type (such as rural divided) needs analysis, the user should create </t>
  </si>
  <si>
    <t>a blank worksheet and then copy the contents of the associated sheet</t>
  </si>
  <si>
    <t>(in this example the rural divided sheet) into the blank sheet and name the</t>
  </si>
  <si>
    <t>file accordingly.</t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</si>
  <si>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</si>
  <si>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</si>
  <si>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</si>
  <si>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</si>
  <si>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</si>
  <si>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</si>
  <si>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</si>
  <si>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</si>
  <si>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>Rural Divided Multilane Seg</t>
  </si>
  <si>
    <t>Analysis for the rural divided multilane segment</t>
  </si>
  <si>
    <t>Analysis for the rural undivided multilane segment</t>
  </si>
  <si>
    <t>Rural Multilane Intersection</t>
  </si>
  <si>
    <t>Analysis for the rural multilane intersection</t>
  </si>
  <si>
    <t>The associated HSM worksheets are</t>
  </si>
  <si>
    <t>Worksheets 2A, 2B, 2C, 2D, and 2E.</t>
  </si>
  <si>
    <t>Rural Multilane Site Total</t>
  </si>
  <si>
    <t>Rural Undivided Multilane Seg</t>
  </si>
  <si>
    <t>multilane worksheets.This analysis can be</t>
  </si>
  <si>
    <t>of historic crashes within the study limits.</t>
  </si>
  <si>
    <t>are Worksheets 1A, 1B(b), 1C(b), 1D(b), and 1E.</t>
  </si>
  <si>
    <t>Worksheets 1A, 1B(a), 1C(a), 1D(a), and 1E.</t>
  </si>
  <si>
    <t>Worksheets 3A and 3B.</t>
  </si>
  <si>
    <t>performed if the analyst knows the exact location</t>
  </si>
  <si>
    <t>Rural Multilane Project Total</t>
  </si>
  <si>
    <t xml:space="preserve">Analysis for project-specific EB analysis using </t>
  </si>
  <si>
    <t>results from the rural divided and undivided</t>
  </si>
  <si>
    <t>segment as well as rural intersection multilane</t>
  </si>
  <si>
    <t>worksheets. This analysis can be performed if</t>
  </si>
  <si>
    <t>the analyst has historic crash data, but does</t>
  </si>
  <si>
    <t>not know the exact location within the project</t>
  </si>
  <si>
    <t>limits at which the crashes occurred. The</t>
  </si>
  <si>
    <t>associated HSM worksheets are Worksheets</t>
  </si>
  <si>
    <t>4A and 4B.</t>
  </si>
  <si>
    <t>Analysis for site-specific EB analysis using</t>
  </si>
  <si>
    <t xml:space="preserve">segment as well as rural intersection </t>
  </si>
  <si>
    <t>Construction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</si>
  <si>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</si>
  <si>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</si>
  <si>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</si>
  <si>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</si>
  <si>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</si>
  <si>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</si>
  <si>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</si>
  <si>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</si>
  <si>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identify locations where input data is required.  In some cases,</t>
  </si>
  <si>
    <t>the shaded cells require the user to input specific numbers. In</t>
  </si>
  <si>
    <t>other cases the input is restricted to a select set of options</t>
  </si>
  <si>
    <t>included in pull-down lists. The respective color coding is as</t>
  </si>
  <si>
    <t>follows:</t>
  </si>
  <si>
    <t>Color Used</t>
  </si>
  <si>
    <t>Type of Information Required from User</t>
  </si>
  <si>
    <t>Required input information as identified</t>
  </si>
  <si>
    <t>in the HSM.</t>
  </si>
  <si>
    <t xml:space="preserve">Input data required from the user but </t>
  </si>
  <si>
    <t>restricted to options provided in pull-down</t>
  </si>
  <si>
    <t>boxes.</t>
  </si>
  <si>
    <t>Optional input information that can be used</t>
  </si>
  <si>
    <t>to supplement the analysis if this information</t>
  </si>
  <si>
    <t>is available.  This optional input information</t>
  </si>
  <si>
    <t>is reserved for locally-derived crash information.</t>
  </si>
  <si>
    <t>If the analyst elects to use this option so as</t>
  </si>
  <si>
    <t>to improve analysis for local crash distribution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</si>
  <si>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</si>
  <si>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</si>
  <si>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</si>
  <si>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</si>
  <si>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</si>
  <si>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</si>
  <si>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The worksheets include three specific color options to help users</t>
  </si>
  <si>
    <t>The page tabs shown at the bottom of this file represent the various analysEs</t>
  </si>
  <si>
    <t>Median Width (ft)</t>
  </si>
  <si>
    <t>N spf rd</t>
  </si>
  <si>
    <t>Proportion of Collision Type(FI)</t>
  </si>
  <si>
    <t>Note: The collision types related to lane width to which this CMF applies include run-off-the-road, head-on crashes, and sideswipes.</t>
  </si>
  <si>
    <t>Calculations for the CMF for Shoulder Type and Widths</t>
  </si>
  <si>
    <t>Tables Affiliated with Crash Statistics:</t>
  </si>
  <si>
    <t>Tables Affiliated with Crash Modification Factors:</t>
  </si>
  <si>
    <r>
      <t xml:space="preserve"> 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 (FI)</t>
    </r>
  </si>
  <si>
    <r>
      <t>(CMF</t>
    </r>
    <r>
      <rPr>
        <vertAlign val="subscript"/>
        <sz val="10"/>
        <rFont val="Arial"/>
        <family val="2"/>
      </rPr>
      <t xml:space="preserve"> 2i</t>
    </r>
    <r>
      <rPr>
        <sz val="10"/>
        <rFont val="Arial"/>
        <family val="2"/>
      </rPr>
      <t xml:space="preserve"> )</t>
    </r>
  </si>
  <si>
    <r>
      <t>(CMF</t>
    </r>
    <r>
      <rPr>
        <vertAlign val="subscript"/>
        <sz val="10"/>
        <rFont val="Arial"/>
        <family val="2"/>
      </rPr>
      <t xml:space="preserve"> 3i </t>
    </r>
    <r>
      <rPr>
        <sz val="10"/>
        <rFont val="Arial"/>
        <family val="2"/>
      </rPr>
      <t>)</t>
    </r>
  </si>
  <si>
    <r>
      <t>(CMF</t>
    </r>
    <r>
      <rPr>
        <vertAlign val="subscript"/>
        <sz val="10"/>
        <rFont val="Arial"/>
        <family val="2"/>
      </rPr>
      <t xml:space="preserve"> 4i </t>
    </r>
    <r>
      <rPr>
        <sz val="10"/>
        <rFont val="Arial"/>
        <family val="2"/>
      </rPr>
      <t>)</t>
    </r>
  </si>
  <si>
    <r>
      <t>Combined CMF (CMF</t>
    </r>
    <r>
      <rPr>
        <vertAlign val="subscript"/>
        <sz val="10"/>
        <rFont val="Arial"/>
        <family val="2"/>
      </rPr>
      <t xml:space="preserve"> COMB </t>
    </r>
    <r>
      <rPr>
        <sz val="10"/>
        <rFont val="Arial"/>
        <family val="2"/>
      </rPr>
      <t>)</t>
    </r>
  </si>
  <si>
    <t>from Equation 11-22</t>
  </si>
  <si>
    <t>Number of non-STOP-controlled approaches with right-turn lanes (0, 1, 2, 3, or 4)</t>
  </si>
  <si>
    <t>RtApproach</t>
  </si>
  <si>
    <t>Shoulder width (ft) - right shoulder width for divided [if differ for directions of travel, use average width]</t>
  </si>
  <si>
    <t>1:3</t>
  </si>
  <si>
    <t>Sslope2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</si>
  <si>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rs(u)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</si>
  <si>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rs(d)</t>
    </r>
  </si>
  <si>
    <r>
      <t xml:space="preserve">N </t>
    </r>
    <r>
      <rPr>
        <b/>
        <sz val="6"/>
        <rFont val="Arial"/>
        <family val="2"/>
      </rPr>
      <t>predicted rs(d)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</si>
  <si>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rs(d)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</si>
  <si>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rs(d) (PDO) </t>
    </r>
    <r>
      <rPr>
        <b/>
        <sz val="10"/>
        <rFont val="Arial"/>
        <family val="2"/>
      </rPr>
      <t>(crashes/year)</t>
    </r>
  </si>
  <si>
    <r>
      <t xml:space="preserve">N </t>
    </r>
    <r>
      <rPr>
        <b/>
        <sz val="6"/>
        <rFont val="Arial"/>
        <family val="2"/>
      </rPr>
      <t>predicted rs(u)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</si>
  <si>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rs(u)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</si>
  <si>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>predicted rs(u)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</si>
  <si>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rs(u) (PDO) </t>
    </r>
    <r>
      <rPr>
        <b/>
        <sz val="10"/>
        <rFont val="Arial"/>
        <family val="2"/>
      </rPr>
      <t>(crashes/year)</t>
    </r>
  </si>
  <si>
    <t>Tables Affiliated with Crash Modification Factors for Specific Segment AADT values:</t>
  </si>
  <si>
    <t>Shld3</t>
  </si>
  <si>
    <t>Note:  The 4-leg Signalized Intersection (4SG) models do not have base conditions and so can only be used for estimation purposes.  As a result, there are not CMFs provided for the 4SG condition.</t>
  </si>
  <si>
    <t>Segment Tables</t>
  </si>
  <si>
    <t>Worksheet shows exhibits for use by the</t>
  </si>
  <si>
    <t>segment worksheets.  These exhibits  are</t>
  </si>
  <si>
    <t>independent and do not depend on input values.</t>
  </si>
  <si>
    <t xml:space="preserve">This worksheet includes exhibits that summarize </t>
  </si>
  <si>
    <t>Intersection Tables</t>
  </si>
  <si>
    <t>exhibits for estimating crash distributions and can</t>
  </si>
  <si>
    <t>be modified for locally-derived conditions if</t>
  </si>
  <si>
    <t>this information is available.</t>
  </si>
  <si>
    <t>crash information and can be modified for locally-derived</t>
  </si>
  <si>
    <t>N spf rs(u)</t>
  </si>
  <si>
    <t>Highway Safety Manual 1st Edition, Volume 2, Chapter 11-- Predictive Method for Rural Multilane Highways -- Analysis Spreadsheet Summary</t>
  </si>
  <si>
    <t>Table 11-4: Distribution of Crashes by Collision Type and Crash Severity Level for Undivided Roadway Segments</t>
  </si>
  <si>
    <t>Table 11-6: Distribution of Crashes by Collision Type and Crash Severity Level for Divided Roadway Segments</t>
  </si>
  <si>
    <t>Table 11-9: Distribution of Intersection Crashes by Collision Type and Crash Severity</t>
  </si>
  <si>
    <r>
      <t>Table 11-11: CMF for Lane Width on Undivided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</si>
  <si>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</si>
  <si>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11-13: CMF for Collision Types Related to Shoulder Types and Shoulder Widths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</si>
  <si>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r>
      <t>Table 11-14: CMF for Side Slope on Undivided Roadway Segments (CMF</t>
    </r>
    <r>
      <rPr>
        <b/>
        <vertAlign val="subscript"/>
        <sz val="10"/>
        <rFont val="Arial"/>
        <family val="2"/>
      </rPr>
      <t>3ru</t>
    </r>
    <r>
      <rPr>
        <b/>
        <sz val="10"/>
        <rFont val="Arial"/>
        <family val="2"/>
      </rPr>
      <t>)</t>
    </r>
  </si>
  <si>
    <t>from Table 11-14</t>
  </si>
  <si>
    <t>Table 11-15: Night-time Crash Proportions for Unlighted Roadway Segments</t>
  </si>
  <si>
    <r>
      <t>Table 11-16: CMF for Lane Width on 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</si>
  <si>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t>Tables Affiliated with CMFs for Specific Segment AADT values:</t>
  </si>
  <si>
    <r>
      <t>Table 11-17: CMF for Right Shoulder Width on Divided Roadway Segments (CMF2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</si>
  <si>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11-17</t>
  </si>
  <si>
    <r>
      <t>Table 11-18: CMF for Median Width on Divided Roadway Segments without a Median Barrier(CMF3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</si>
  <si>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11-18</t>
  </si>
  <si>
    <t>Table 11-19: Night-time Crash Proportions for Unlighted Roadway Segments</t>
  </si>
  <si>
    <t>from Table 11-3</t>
  </si>
  <si>
    <t>from Table 11-5</t>
  </si>
  <si>
    <t>from Table 11-6</t>
  </si>
  <si>
    <t>from Table 11-4</t>
  </si>
  <si>
    <t xml:space="preserve">  from Table   11-4</t>
  </si>
  <si>
    <t>Table 11-24: Night-time Crash Proportions for Unlighted Intersections</t>
  </si>
  <si>
    <t>from Table 11-22</t>
  </si>
  <si>
    <t>from Table 11-23</t>
  </si>
  <si>
    <t>from Table 11-7 or 11-8</t>
  </si>
  <si>
    <t>from Table 11-9</t>
  </si>
  <si>
    <t xml:space="preserve">  from Table   11-9</t>
  </si>
  <si>
    <t>analysis includes AADT specific Tables 11-11</t>
  </si>
  <si>
    <t>and 11-12. The associated HSM worksheets</t>
  </si>
  <si>
    <t>conditions.  These are Tables 11-4, 11-6, 11-15,</t>
  </si>
  <si>
    <t>and 11-19.  Tables specific to CMFs are also included.</t>
  </si>
  <si>
    <t>The CMF tables in this worksheet are 11-13, 11-14,</t>
  </si>
  <si>
    <t>analysis includesTables 11-9 and 11-24.</t>
  </si>
  <si>
    <t>11-17, and 11-18.</t>
  </si>
  <si>
    <t>analysis includes AADT specific Table 11-16.</t>
  </si>
  <si>
    <t>Tables 11-9 and 11-24 are intersection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</si>
  <si>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</si>
  <si>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(veh/day)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</si>
  <si>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</si>
  <si>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</si>
  <si>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</si>
  <si>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</si>
  <si>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</si>
  <si>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</si>
  <si>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</si>
  <si>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</si>
  <si>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</si>
  <si>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JMR</t>
  </si>
  <si>
    <t>DOTD</t>
  </si>
  <si>
    <t>LA XX</t>
  </si>
  <si>
    <t>CS XXX-XX LM 0.0 to LM 1.5</t>
  </si>
  <si>
    <t>Anywhere, LA</t>
  </si>
  <si>
    <t>Note: Local values were calculated from Louisiana crash data (2008-2012). Segment crashes where determined by Officer CD.</t>
  </si>
  <si>
    <t>Intersection at CS XXX-XX LM 1.5</t>
  </si>
  <si>
    <t>Anywhere, LA, 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</si>
</sst>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ck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medium"/>
    </border>
    <border>
      <left style="thin"/>
      <right/>
      <top style="medium"/>
      <bottom style="thin"/>
    </border>
    <border>
      <left style="thin"/>
      <right/>
      <top style="double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ck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/>
      <right style="thin"/>
      <top style="double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 vertical="top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top"/>
    </xf>
    <xf numFmtId="164" fontId="0" fillId="0" borderId="2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0" fillId="0" borderId="1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2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center"/>
    </xf>
    <xf numFmtId="0" fontId="0" fillId="0" borderId="27" xfId="0" applyFont="1" applyFill="1" applyBorder="1" applyAlignment="1" quotePrefix="1">
      <alignment horizontal="center"/>
    </xf>
    <xf numFmtId="0" fontId="0" fillId="0" borderId="14" xfId="0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2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 vertical="top"/>
    </xf>
    <xf numFmtId="168" fontId="0" fillId="0" borderId="11" xfId="0" applyNumberFormat="1" applyFill="1" applyBorder="1" applyAlignment="1">
      <alignment vertical="top"/>
    </xf>
    <xf numFmtId="168" fontId="0" fillId="0" borderId="24" xfId="0" applyNumberFormat="1" applyFill="1" applyBorder="1" applyAlignment="1">
      <alignment/>
    </xf>
    <xf numFmtId="168" fontId="0" fillId="0" borderId="26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 vertical="center"/>
    </xf>
    <xf numFmtId="168" fontId="0" fillId="0" borderId="26" xfId="0" applyNumberFormat="1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26" xfId="0" applyNumberFormat="1" applyFill="1" applyBorder="1" applyAlignment="1">
      <alignment horizontal="center"/>
    </xf>
    <xf numFmtId="164" fontId="0" fillId="34" borderId="28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64" fontId="0" fillId="34" borderId="24" xfId="0" applyNumberFormat="1" applyFill="1" applyBorder="1" applyAlignment="1">
      <alignment horizontal="center"/>
    </xf>
    <xf numFmtId="0" fontId="0" fillId="35" borderId="11" xfId="0" applyFill="1" applyBorder="1" applyAlignment="1" quotePrefix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14" xfId="0" applyFill="1" applyBorder="1" applyAlignment="1" quotePrefix="1">
      <alignment horizontal="center"/>
    </xf>
    <xf numFmtId="2" fontId="0" fillId="35" borderId="24" xfId="0" applyNumberFormat="1" applyFill="1" applyBorder="1" applyAlignment="1">
      <alignment horizontal="center"/>
    </xf>
    <xf numFmtId="1" fontId="0" fillId="35" borderId="26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20" fontId="0" fillId="0" borderId="30" xfId="0" applyNumberFormat="1" applyFont="1" applyBorder="1" applyAlignment="1" quotePrefix="1">
      <alignment/>
    </xf>
    <xf numFmtId="20" fontId="0" fillId="0" borderId="27" xfId="0" applyNumberFormat="1" applyFont="1" applyBorder="1" applyAlignment="1" quotePrefix="1">
      <alignment/>
    </xf>
    <xf numFmtId="2" fontId="0" fillId="0" borderId="21" xfId="0" applyNumberFormat="1" applyBorder="1" applyAlignment="1">
      <alignment horizontal="center"/>
    </xf>
    <xf numFmtId="164" fontId="0" fillId="0" borderId="28" xfId="0" applyNumberForma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right"/>
    </xf>
    <xf numFmtId="3" fontId="0" fillId="36" borderId="32" xfId="0" applyNumberFormat="1" applyFill="1" applyBorder="1" applyAlignment="1">
      <alignment horizontal="center"/>
    </xf>
    <xf numFmtId="0" fontId="0" fillId="36" borderId="3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" fillId="0" borderId="0" xfId="55" applyFont="1">
      <alignment/>
      <protection/>
    </xf>
    <xf numFmtId="2" fontId="55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166" fontId="0" fillId="0" borderId="14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Font="1" applyBorder="1" applyAlignment="1">
      <alignment horizontal="left"/>
    </xf>
    <xf numFmtId="2" fontId="2" fillId="0" borderId="35" xfId="0" applyNumberFormat="1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0" fillId="0" borderId="3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3" fillId="0" borderId="2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2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2" fontId="0" fillId="0" borderId="22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0" fillId="0" borderId="2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0" fillId="0" borderId="15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2" fontId="0" fillId="0" borderId="25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1" xfId="0" applyBorder="1" applyAlignment="1" quotePrefix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42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3" xfId="0" applyNumberForma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5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27" xfId="0" applyBorder="1" applyAlignment="1">
      <alignment/>
    </xf>
    <xf numFmtId="2" fontId="3" fillId="0" borderId="11" xfId="0" applyNumberFormat="1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6" xfId="0" applyNumberFormat="1" applyBorder="1" applyAlignment="1">
      <alignment horizontal="center"/>
    </xf>
    <xf numFmtId="2" fontId="0" fillId="0" borderId="45" xfId="0" applyNumberFormat="1" applyBorder="1" applyAlignment="1">
      <alignment/>
    </xf>
    <xf numFmtId="2" fontId="0" fillId="0" borderId="46" xfId="0" applyNumberFormat="1" applyFont="1" applyFill="1" applyBorder="1" applyAlignment="1" quotePrefix="1">
      <alignment horizontal="center"/>
    </xf>
    <xf numFmtId="0" fontId="0" fillId="0" borderId="44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3" xfId="0" applyBorder="1" applyAlignment="1" quotePrefix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35" borderId="34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35" borderId="43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165" fontId="0" fillId="35" borderId="48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7" xfId="0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23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1" fontId="0" fillId="0" borderId="3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26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4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21" xfId="0" applyFill="1" applyBorder="1" applyAlignment="1">
      <alignment vertical="top"/>
    </xf>
    <xf numFmtId="0" fontId="0" fillId="0" borderId="2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5" xfId="0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2" fontId="0" fillId="0" borderId="24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7" xfId="0" applyBorder="1" applyAlignment="1">
      <alignment horizontal="center"/>
    </xf>
    <xf numFmtId="0" fontId="0" fillId="35" borderId="34" xfId="0" applyFill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0" fontId="0" fillId="0" borderId="50" xfId="0" applyBorder="1" applyAlignment="1">
      <alignment horizontal="center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8" xfId="0" applyBorder="1" applyAlignment="1">
      <alignment vertical="top" wrapText="1"/>
    </xf>
    <xf numFmtId="0" fontId="0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6" fontId="0" fillId="0" borderId="3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2" fontId="0" fillId="0" borderId="37" xfId="0" applyNumberFormat="1" applyFont="1" applyFill="1" applyBorder="1" applyAlignment="1">
      <alignment horizontal="left"/>
    </xf>
    <xf numFmtId="2" fontId="0" fillId="0" borderId="37" xfId="0" applyNumberForma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1" xfId="0" applyFont="1" applyFill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7" xfId="0" applyFont="1" applyFill="1" applyBorder="1" applyAlignment="1" quotePrefix="1">
      <alignment horizontal="center"/>
    </xf>
    <xf numFmtId="0" fontId="0" fillId="0" borderId="30" xfId="0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0" fillId="0" borderId="35" xfId="0" applyNumberFormat="1" applyFont="1" applyFill="1" applyBorder="1" applyAlignment="1">
      <alignment horizontal="left"/>
    </xf>
    <xf numFmtId="0" fontId="0" fillId="0" borderId="24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50" xfId="0" applyFont="1" applyFill="1" applyBorder="1" applyAlignment="1" quotePrefix="1">
      <alignment horizontal="center"/>
    </xf>
    <xf numFmtId="0" fontId="0" fillId="0" borderId="48" xfId="0" applyBorder="1" applyAlignment="1">
      <alignment horizontal="center"/>
    </xf>
    <xf numFmtId="0" fontId="0" fillId="0" borderId="44" xfId="0" applyFont="1" applyBorder="1" applyAlignment="1">
      <alignment/>
    </xf>
    <xf numFmtId="2" fontId="0" fillId="35" borderId="46" xfId="0" applyNumberFormat="1" applyFill="1" applyBorder="1" applyAlignment="1">
      <alignment horizontal="center"/>
    </xf>
    <xf numFmtId="0" fontId="0" fillId="35" borderId="44" xfId="0" applyFill="1" applyBorder="1" applyAlignment="1">
      <alignment/>
    </xf>
    <xf numFmtId="0" fontId="0" fillId="0" borderId="25" xfId="0" applyBorder="1" applyAlignment="1" quotePrefix="1">
      <alignment horizontal="center"/>
    </xf>
    <xf numFmtId="0" fontId="0" fillId="33" borderId="25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48" xfId="0" applyFont="1" applyBorder="1" applyAlignment="1">
      <alignment/>
    </xf>
    <xf numFmtId="49" fontId="3" fillId="0" borderId="41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51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0" fillId="0" borderId="51" xfId="0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34" xfId="0" applyNumberFormat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Fill="1" applyBorder="1" applyAlignment="1">
      <alignment horizontal="center" vertical="center"/>
    </xf>
    <xf numFmtId="166" fontId="0" fillId="0" borderId="34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166" fontId="0" fillId="0" borderId="15" xfId="0" applyNumberForma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/>
    </xf>
    <xf numFmtId="166" fontId="0" fillId="0" borderId="37" xfId="0" applyNumberFormat="1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49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Font="1" applyFill="1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11</xdr:row>
      <xdr:rowOff>161925</xdr:rowOff>
    </xdr:from>
    <xdr:to>
      <xdr:col>14</xdr:col>
      <xdr:colOff>3971925</xdr:colOff>
      <xdr:row>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2076450"/>
          <a:ext cx="3971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5"/>
  <sheetViews>
    <sheetView tabSelected="1" zoomScalePageLayoutView="0" workbookViewId="0" topLeftCell="A1">
      <selection activeCell="B2" sqref="B2:P2"/>
    </sheetView>
  </sheetViews>
  <sheetFormatPr defaultColWidth="9.140625" defaultRowHeight="12.75"/>
  <sheetData>
    <row r="2" spans="2:16" ht="12.75">
      <c r="B2" s="195" t="s">
        <v>423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4" spans="2:11" ht="12.75">
      <c r="B4" s="151" t="s">
        <v>315</v>
      </c>
      <c r="K4" s="151" t="s">
        <v>355</v>
      </c>
    </row>
    <row r="6" spans="2:11" ht="12.75">
      <c r="B6" s="34" t="s">
        <v>300</v>
      </c>
      <c r="K6" s="34" t="s">
        <v>380</v>
      </c>
    </row>
    <row r="7" spans="2:11" ht="12.75">
      <c r="B7" s="34" t="s">
        <v>301</v>
      </c>
      <c r="K7" s="34" t="s">
        <v>356</v>
      </c>
    </row>
    <row r="8" spans="2:11" ht="12.75">
      <c r="B8" s="34" t="s">
        <v>302</v>
      </c>
      <c r="K8" s="34" t="s">
        <v>357</v>
      </c>
    </row>
    <row r="9" spans="2:11" ht="12.75">
      <c r="B9" s="34" t="s">
        <v>303</v>
      </c>
      <c r="K9" s="34" t="s">
        <v>358</v>
      </c>
    </row>
    <row r="10" spans="2:11" ht="12.75">
      <c r="B10" s="34" t="s">
        <v>304</v>
      </c>
      <c r="K10" s="34" t="s">
        <v>359</v>
      </c>
    </row>
    <row r="11" ht="12.75">
      <c r="K11" s="34" t="s">
        <v>360</v>
      </c>
    </row>
    <row r="13" spans="2:13" ht="12.75">
      <c r="B13" s="34" t="s">
        <v>381</v>
      </c>
      <c r="K13" s="151" t="s">
        <v>361</v>
      </c>
      <c r="M13" s="151" t="s">
        <v>362</v>
      </c>
    </row>
    <row r="14" ht="12.75">
      <c r="B14" s="34" t="s">
        <v>305</v>
      </c>
    </row>
    <row r="15" spans="2:13" ht="12.75">
      <c r="B15" s="34" t="s">
        <v>306</v>
      </c>
      <c r="K15" s="175"/>
      <c r="M15" s="34" t="s">
        <v>363</v>
      </c>
    </row>
    <row r="16" spans="2:13" ht="12.75">
      <c r="B16" s="34" t="s">
        <v>307</v>
      </c>
      <c r="K16" s="176"/>
      <c r="M16" s="34" t="s">
        <v>364</v>
      </c>
    </row>
    <row r="17" ht="12.75">
      <c r="B17" s="34" t="s">
        <v>308</v>
      </c>
    </row>
    <row r="18" spans="2:13" ht="12.75">
      <c r="B18" s="34" t="s">
        <v>309</v>
      </c>
      <c r="K18" s="177"/>
      <c r="M18" s="34" t="s">
        <v>365</v>
      </c>
    </row>
    <row r="19" spans="2:13" ht="12.75">
      <c r="B19" s="34" t="s">
        <v>310</v>
      </c>
      <c r="K19" s="178"/>
      <c r="M19" s="34" t="s">
        <v>366</v>
      </c>
    </row>
    <row r="20" spans="2:13" ht="12.75">
      <c r="B20" s="34" t="s">
        <v>311</v>
      </c>
      <c r="M20" s="34" t="s">
        <v>367</v>
      </c>
    </row>
    <row r="22" spans="2:13" ht="12.75">
      <c r="B22" s="34" t="s">
        <v>312</v>
      </c>
      <c r="K22" s="179"/>
      <c r="M22" s="34" t="s">
        <v>368</v>
      </c>
    </row>
    <row r="23" spans="11:13" ht="12.75">
      <c r="K23" s="180"/>
      <c r="M23" s="34" t="s">
        <v>369</v>
      </c>
    </row>
    <row r="24" spans="2:13" ht="12.75">
      <c r="B24" s="151" t="s">
        <v>313</v>
      </c>
      <c r="E24" s="152" t="s">
        <v>314</v>
      </c>
      <c r="M24" s="34" t="s">
        <v>370</v>
      </c>
    </row>
    <row r="25" ht="12.75">
      <c r="M25" s="34" t="s">
        <v>371</v>
      </c>
    </row>
    <row r="26" spans="2:13" ht="12.75">
      <c r="B26" s="34" t="s">
        <v>316</v>
      </c>
      <c r="E26" s="34" t="s">
        <v>317</v>
      </c>
      <c r="M26" s="34" t="s">
        <v>372</v>
      </c>
    </row>
    <row r="27" spans="5:13" ht="12.75">
      <c r="E27" s="34" t="s">
        <v>318</v>
      </c>
      <c r="M27" s="34" t="s">
        <v>373</v>
      </c>
    </row>
    <row r="28" spans="5:13" ht="12.75">
      <c r="E28" s="34" t="s">
        <v>319</v>
      </c>
      <c r="M28" s="34" t="s">
        <v>374</v>
      </c>
    </row>
    <row r="29" ht="12.75">
      <c r="M29" s="34" t="s">
        <v>375</v>
      </c>
    </row>
    <row r="30" spans="2:13" ht="12.75">
      <c r="B30" s="34" t="s">
        <v>320</v>
      </c>
      <c r="E30" s="34" t="s">
        <v>321</v>
      </c>
      <c r="M30" s="34" t="s">
        <v>376</v>
      </c>
    </row>
    <row r="31" spans="5:13" ht="12.75">
      <c r="E31" s="34" t="s">
        <v>458</v>
      </c>
      <c r="M31" s="34" t="s">
        <v>377</v>
      </c>
    </row>
    <row r="32" spans="5:13" ht="12.75">
      <c r="E32" s="34" t="s">
        <v>325</v>
      </c>
      <c r="M32" s="34" t="s">
        <v>378</v>
      </c>
    </row>
    <row r="33" spans="5:13" ht="12.75">
      <c r="E33" s="34" t="s">
        <v>332</v>
      </c>
      <c r="M33" s="34" t="s">
        <v>379</v>
      </c>
    </row>
    <row r="35" spans="2:5" ht="12.75">
      <c r="B35" s="34" t="s">
        <v>328</v>
      </c>
      <c r="E35" s="34" t="s">
        <v>322</v>
      </c>
    </row>
    <row r="36" ht="12.75">
      <c r="E36" s="34" t="s">
        <v>451</v>
      </c>
    </row>
    <row r="37" spans="5:13" ht="12.75">
      <c r="E37" s="34" t="s">
        <v>452</v>
      </c>
      <c r="K37" s="190" t="s">
        <v>462</v>
      </c>
      <c r="L37" s="190"/>
      <c r="M37" s="190"/>
    </row>
    <row r="38" spans="5:12" ht="12.75">
      <c r="E38" s="34" t="s">
        <v>331</v>
      </c>
      <c r="L38" t="s">
        <v>463</v>
      </c>
    </row>
    <row r="39" ht="12.75">
      <c r="L39" t="s">
        <v>464</v>
      </c>
    </row>
    <row r="40" spans="2:12" ht="12.75">
      <c r="B40" s="34" t="s">
        <v>412</v>
      </c>
      <c r="E40" s="34" t="s">
        <v>413</v>
      </c>
      <c r="L40" t="s">
        <v>465</v>
      </c>
    </row>
    <row r="41" spans="5:12" ht="12.75">
      <c r="E41" s="34" t="s">
        <v>414</v>
      </c>
      <c r="L41" t="s">
        <v>466</v>
      </c>
    </row>
    <row r="42" spans="5:12" ht="12.75">
      <c r="E42" s="34" t="s">
        <v>415</v>
      </c>
      <c r="L42" t="s">
        <v>467</v>
      </c>
    </row>
    <row r="43" ht="12.75">
      <c r="E43" s="34" t="s">
        <v>416</v>
      </c>
    </row>
    <row r="44" spans="5:12" ht="12.75">
      <c r="E44" s="34" t="s">
        <v>421</v>
      </c>
      <c r="L44" t="s">
        <v>468</v>
      </c>
    </row>
    <row r="45" spans="5:12" ht="12.75">
      <c r="E45" s="34" t="s">
        <v>453</v>
      </c>
      <c r="L45" t="s">
        <v>469</v>
      </c>
    </row>
    <row r="46" ht="12.75">
      <c r="E46" s="34" t="s">
        <v>454</v>
      </c>
    </row>
    <row r="47" ht="12.75">
      <c r="E47" s="34" t="s">
        <v>455</v>
      </c>
    </row>
    <row r="48" ht="12.75">
      <c r="E48" s="34" t="s">
        <v>457</v>
      </c>
    </row>
    <row r="49" ht="12.75">
      <c r="E49" s="34"/>
    </row>
    <row r="50" spans="2:5" ht="12.75">
      <c r="B50" s="34" t="s">
        <v>323</v>
      </c>
      <c r="E50" s="34" t="s">
        <v>324</v>
      </c>
    </row>
    <row r="51" ht="12.75">
      <c r="E51" s="34" t="s">
        <v>456</v>
      </c>
    </row>
    <row r="52" ht="12.75">
      <c r="E52" s="34" t="s">
        <v>325</v>
      </c>
    </row>
    <row r="53" ht="12.75">
      <c r="E53" s="34" t="s">
        <v>326</v>
      </c>
    </row>
    <row r="54" ht="12.75">
      <c r="E54" s="34"/>
    </row>
    <row r="55" spans="2:5" ht="12.75">
      <c r="B55" s="34" t="s">
        <v>417</v>
      </c>
      <c r="E55" s="34" t="s">
        <v>459</v>
      </c>
    </row>
    <row r="56" ht="12.75">
      <c r="E56" s="34" t="s">
        <v>418</v>
      </c>
    </row>
    <row r="57" ht="12.75">
      <c r="E57" s="34" t="s">
        <v>419</v>
      </c>
    </row>
    <row r="58" ht="12.75">
      <c r="E58" s="34" t="s">
        <v>420</v>
      </c>
    </row>
    <row r="60" spans="2:5" ht="12.75">
      <c r="B60" s="34" t="s">
        <v>327</v>
      </c>
      <c r="E60" s="34" t="s">
        <v>345</v>
      </c>
    </row>
    <row r="61" ht="12.75">
      <c r="E61" s="34" t="s">
        <v>337</v>
      </c>
    </row>
    <row r="62" ht="12.75">
      <c r="E62" s="34" t="s">
        <v>346</v>
      </c>
    </row>
    <row r="63" ht="12.75">
      <c r="E63" s="34" t="s">
        <v>329</v>
      </c>
    </row>
    <row r="64" ht="12.75">
      <c r="E64" s="34" t="s">
        <v>334</v>
      </c>
    </row>
    <row r="65" ht="12.75">
      <c r="E65" s="34" t="s">
        <v>330</v>
      </c>
    </row>
    <row r="66" ht="12.75">
      <c r="E66" s="34" t="s">
        <v>325</v>
      </c>
    </row>
    <row r="67" ht="12.75">
      <c r="E67" s="34" t="s">
        <v>333</v>
      </c>
    </row>
    <row r="69" spans="2:5" ht="12.75">
      <c r="B69" s="34" t="s">
        <v>335</v>
      </c>
      <c r="E69" s="34" t="s">
        <v>336</v>
      </c>
    </row>
    <row r="70" ht="12.75">
      <c r="E70" s="34" t="s">
        <v>337</v>
      </c>
    </row>
    <row r="71" ht="12.75">
      <c r="E71" s="34" t="s">
        <v>338</v>
      </c>
    </row>
    <row r="72" ht="12.75">
      <c r="E72" s="34" t="s">
        <v>339</v>
      </c>
    </row>
    <row r="73" ht="12.75">
      <c r="E73" s="34" t="s">
        <v>340</v>
      </c>
    </row>
    <row r="74" ht="12.75">
      <c r="E74" s="34" t="s">
        <v>341</v>
      </c>
    </row>
    <row r="75" ht="12.75">
      <c r="E75" s="34" t="s">
        <v>342</v>
      </c>
    </row>
    <row r="76" ht="12.75">
      <c r="E76" s="34" t="s">
        <v>343</v>
      </c>
    </row>
    <row r="77" ht="12.75">
      <c r="E77" s="34" t="s">
        <v>344</v>
      </c>
    </row>
    <row r="79" spans="2:5" ht="12.75">
      <c r="B79" s="34" t="s">
        <v>347</v>
      </c>
      <c r="E79" s="34" t="s">
        <v>348</v>
      </c>
    </row>
    <row r="80" ht="12.75">
      <c r="E80" s="34" t="s">
        <v>349</v>
      </c>
    </row>
    <row r="81" ht="12.75">
      <c r="E81" s="34" t="s">
        <v>350</v>
      </c>
    </row>
    <row r="82" ht="12.75">
      <c r="E82" s="34" t="s">
        <v>351</v>
      </c>
    </row>
    <row r="83" ht="12.75">
      <c r="E83" s="34" t="s">
        <v>352</v>
      </c>
    </row>
    <row r="84" ht="12.75">
      <c r="E84" s="34" t="s">
        <v>353</v>
      </c>
    </row>
    <row r="85" ht="12.75">
      <c r="E85" s="34" t="s">
        <v>354</v>
      </c>
    </row>
  </sheetData>
  <sheetProtection/>
  <mergeCells count="1"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9" max="9" width="11.00390625" style="0" customWidth="1"/>
    <col min="11" max="11" width="10.57421875" style="0" customWidth="1"/>
    <col min="12" max="12" width="11.140625" style="0" customWidth="1"/>
    <col min="13" max="13" width="12.28125" style="0" customWidth="1"/>
    <col min="14" max="14" width="11.28125" style="0" customWidth="1"/>
    <col min="18" max="18" width="11.28125" style="0" customWidth="1"/>
    <col min="19" max="19" width="11.00390625" style="0" customWidth="1"/>
    <col min="20" max="20" width="12.00390625" style="0" customWidth="1"/>
    <col min="21" max="21" width="13.28125" style="0" customWidth="1"/>
    <col min="22" max="22" width="10.28125" style="0" customWidth="1"/>
    <col min="23" max="23" width="11.00390625" style="0" customWidth="1"/>
    <col min="24" max="24" width="10.7109375" style="0" customWidth="1"/>
    <col min="25" max="25" width="13.28125" style="0" customWidth="1"/>
    <col min="26" max="26" width="10.00390625" style="0" customWidth="1"/>
    <col min="27" max="27" width="13.28125" style="0" customWidth="1"/>
    <col min="33" max="33" width="10.7109375" style="0" customWidth="1"/>
    <col min="37" max="37" width="10.140625" style="0" customWidth="1"/>
  </cols>
  <sheetData>
    <row r="1" spans="43:56" ht="13.5" thickBot="1"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 ht="14.25" thickBot="1" thickTop="1">
      <c r="A2" s="229" t="s">
        <v>112</v>
      </c>
      <c r="B2" s="274"/>
      <c r="C2" s="274"/>
      <c r="D2" s="274"/>
      <c r="E2" s="302"/>
      <c r="F2" s="302"/>
      <c r="G2" s="302"/>
      <c r="H2" s="302"/>
      <c r="I2" s="302"/>
      <c r="J2" s="302"/>
      <c r="K2" s="302"/>
      <c r="L2" s="302"/>
      <c r="M2" s="302"/>
      <c r="N2" s="302"/>
      <c r="AQ2" s="62"/>
      <c r="AR2" s="62"/>
      <c r="AS2" s="62"/>
      <c r="AT2" s="62"/>
      <c r="AU2" s="39"/>
      <c r="AV2" s="39"/>
      <c r="AW2" s="39"/>
      <c r="AX2" s="39"/>
      <c r="AY2" s="62"/>
      <c r="AZ2" s="62"/>
      <c r="BA2" s="62"/>
      <c r="BB2" s="62"/>
      <c r="BC2" s="62"/>
      <c r="BD2" s="39"/>
    </row>
    <row r="3" spans="1:56" ht="12.75">
      <c r="A3" s="361" t="s">
        <v>0</v>
      </c>
      <c r="B3" s="362"/>
      <c r="C3" s="362"/>
      <c r="D3" s="362"/>
      <c r="E3" s="362"/>
      <c r="F3" s="362"/>
      <c r="G3" s="363"/>
      <c r="H3" s="364" t="s">
        <v>11</v>
      </c>
      <c r="I3" s="365"/>
      <c r="J3" s="365"/>
      <c r="K3" s="365"/>
      <c r="L3" s="365"/>
      <c r="M3" s="365"/>
      <c r="N3" s="365"/>
      <c r="R3" s="151" t="s">
        <v>434</v>
      </c>
      <c r="AQ3" s="62"/>
      <c r="AR3" s="62"/>
      <c r="AS3" s="62"/>
      <c r="AT3" s="62"/>
      <c r="AU3" s="39"/>
      <c r="AV3" s="39"/>
      <c r="AW3" s="39"/>
      <c r="AX3" s="39"/>
      <c r="AY3" s="62"/>
      <c r="AZ3" s="62"/>
      <c r="BA3" s="62"/>
      <c r="BB3" s="62"/>
      <c r="BC3" s="62"/>
      <c r="BD3" s="39"/>
    </row>
    <row r="4" spans="1:56" ht="12.75">
      <c r="A4" s="367" t="s">
        <v>1</v>
      </c>
      <c r="B4" s="367"/>
      <c r="C4" s="367"/>
      <c r="D4" s="25"/>
      <c r="E4" s="350" t="s">
        <v>471</v>
      </c>
      <c r="F4" s="346"/>
      <c r="G4" s="368"/>
      <c r="H4" s="369" t="s">
        <v>12</v>
      </c>
      <c r="I4" s="367"/>
      <c r="J4" s="341"/>
      <c r="K4" s="350" t="s">
        <v>473</v>
      </c>
      <c r="L4" s="346"/>
      <c r="M4" s="346"/>
      <c r="N4" s="346"/>
      <c r="AQ4" s="62"/>
      <c r="AR4" s="62"/>
      <c r="AS4" s="62"/>
      <c r="AT4" s="62"/>
      <c r="AU4" s="39"/>
      <c r="AV4" s="39"/>
      <c r="AW4" s="39"/>
      <c r="AX4" s="39"/>
      <c r="AY4" s="64"/>
      <c r="AZ4" s="64"/>
      <c r="BA4" s="62"/>
      <c r="BB4" s="62"/>
      <c r="BC4" s="62"/>
      <c r="BD4" s="39"/>
    </row>
    <row r="5" spans="1:56" ht="13.5" thickBot="1">
      <c r="A5" s="344" t="s">
        <v>2</v>
      </c>
      <c r="B5" s="344"/>
      <c r="C5" s="344"/>
      <c r="D5" s="20"/>
      <c r="E5" s="366" t="s">
        <v>472</v>
      </c>
      <c r="F5" s="358"/>
      <c r="G5" s="359"/>
      <c r="H5" s="352" t="s">
        <v>13</v>
      </c>
      <c r="I5" s="353"/>
      <c r="J5" s="354"/>
      <c r="K5" s="360" t="s">
        <v>474</v>
      </c>
      <c r="L5" s="358"/>
      <c r="M5" s="358"/>
      <c r="N5" s="358"/>
      <c r="AQ5" s="62"/>
      <c r="AR5" s="62"/>
      <c r="AS5" s="62"/>
      <c r="AT5" s="62"/>
      <c r="AU5" s="62"/>
      <c r="AV5" s="62"/>
      <c r="AW5" s="39"/>
      <c r="AX5" s="39"/>
      <c r="AY5" s="64"/>
      <c r="AZ5" s="64"/>
      <c r="BA5" s="62"/>
      <c r="BB5" s="62"/>
      <c r="BC5" s="62"/>
      <c r="BD5" s="39"/>
    </row>
    <row r="6" spans="1:56" ht="12.75">
      <c r="A6" s="344" t="s">
        <v>3</v>
      </c>
      <c r="B6" s="344"/>
      <c r="C6" s="344"/>
      <c r="D6" s="20"/>
      <c r="E6" s="357">
        <v>42160</v>
      </c>
      <c r="F6" s="358"/>
      <c r="G6" s="359"/>
      <c r="H6" s="352" t="s">
        <v>14</v>
      </c>
      <c r="I6" s="353"/>
      <c r="J6" s="354"/>
      <c r="K6" s="360" t="s">
        <v>475</v>
      </c>
      <c r="L6" s="358"/>
      <c r="M6" s="358"/>
      <c r="N6" s="358"/>
      <c r="R6" s="201" t="s">
        <v>433</v>
      </c>
      <c r="S6" s="201"/>
      <c r="T6" s="201"/>
      <c r="U6" s="201"/>
      <c r="V6" s="201"/>
      <c r="AQ6" s="38"/>
      <c r="AR6" s="38"/>
      <c r="AS6" s="38"/>
      <c r="AT6" s="38"/>
      <c r="AU6" s="38"/>
      <c r="AV6" s="38"/>
      <c r="AW6" s="39"/>
      <c r="AX6" s="39"/>
      <c r="AY6" s="46"/>
      <c r="AZ6" s="33"/>
      <c r="BA6" s="38"/>
      <c r="BB6" s="38"/>
      <c r="BC6" s="38"/>
      <c r="BD6" s="39"/>
    </row>
    <row r="7" spans="1:56" ht="13.5" thickBot="1">
      <c r="A7" s="351"/>
      <c r="B7" s="351"/>
      <c r="C7" s="351"/>
      <c r="D7" s="30"/>
      <c r="E7" s="352"/>
      <c r="F7" s="353"/>
      <c r="G7" s="354"/>
      <c r="H7" s="352" t="s">
        <v>15</v>
      </c>
      <c r="I7" s="353"/>
      <c r="J7" s="354"/>
      <c r="K7" s="355">
        <v>2015</v>
      </c>
      <c r="L7" s="356"/>
      <c r="M7" s="356"/>
      <c r="N7" s="356"/>
      <c r="R7" s="202"/>
      <c r="S7" s="202"/>
      <c r="T7" s="202"/>
      <c r="U7" s="202"/>
      <c r="V7" s="202"/>
      <c r="AQ7" s="38"/>
      <c r="AR7" s="38"/>
      <c r="AS7" s="38"/>
      <c r="AT7" s="38"/>
      <c r="AU7" s="38"/>
      <c r="AV7" s="38"/>
      <c r="AW7" s="39"/>
      <c r="AX7" s="39"/>
      <c r="AY7" s="33"/>
      <c r="AZ7" s="33"/>
      <c r="BA7" s="38"/>
      <c r="BB7" s="38"/>
      <c r="BC7" s="38"/>
      <c r="BD7" s="39"/>
    </row>
    <row r="8" spans="1:56" ht="12.75">
      <c r="A8" s="347" t="s">
        <v>4</v>
      </c>
      <c r="B8" s="334"/>
      <c r="C8" s="334"/>
      <c r="D8" s="334"/>
      <c r="E8" s="334"/>
      <c r="F8" s="334"/>
      <c r="G8" s="348"/>
      <c r="H8" s="349" t="s">
        <v>16</v>
      </c>
      <c r="I8" s="348"/>
      <c r="J8" s="349" t="s">
        <v>18</v>
      </c>
      <c r="K8" s="334"/>
      <c r="L8" s="334"/>
      <c r="M8" s="334"/>
      <c r="N8" s="334"/>
      <c r="R8" s="203" t="s">
        <v>53</v>
      </c>
      <c r="S8" s="204"/>
      <c r="T8" s="207" t="s">
        <v>6</v>
      </c>
      <c r="U8" s="207"/>
      <c r="V8" s="208"/>
      <c r="AQ8" s="38"/>
      <c r="AR8" s="38"/>
      <c r="AS8" s="38"/>
      <c r="AT8" s="38"/>
      <c r="AU8" s="38"/>
      <c r="AV8" s="38"/>
      <c r="AW8" s="39"/>
      <c r="AX8" s="39"/>
      <c r="AY8" s="46"/>
      <c r="AZ8" s="33"/>
      <c r="BA8" s="38"/>
      <c r="BB8" s="38"/>
      <c r="BC8" s="38"/>
      <c r="BD8" s="39"/>
    </row>
    <row r="9" spans="1:56" ht="12.75">
      <c r="A9" s="327" t="s">
        <v>119</v>
      </c>
      <c r="B9" s="328"/>
      <c r="C9" s="328"/>
      <c r="D9" s="328"/>
      <c r="E9" s="328"/>
      <c r="F9" s="328"/>
      <c r="G9" s="285"/>
      <c r="H9" s="340" t="s">
        <v>184</v>
      </c>
      <c r="I9" s="341"/>
      <c r="J9" s="342" t="s">
        <v>183</v>
      </c>
      <c r="K9" s="343"/>
      <c r="L9" s="343"/>
      <c r="M9" s="343"/>
      <c r="N9" s="343"/>
      <c r="R9" s="205"/>
      <c r="S9" s="206"/>
      <c r="T9" s="26" t="s">
        <v>59</v>
      </c>
      <c r="U9" s="26" t="s">
        <v>60</v>
      </c>
      <c r="V9" s="13" t="s">
        <v>61</v>
      </c>
      <c r="AQ9" s="38"/>
      <c r="AR9" s="38"/>
      <c r="AS9" s="38"/>
      <c r="AT9" s="38"/>
      <c r="AU9" s="38"/>
      <c r="AV9" s="38"/>
      <c r="AW9" s="39"/>
      <c r="AX9" s="39"/>
      <c r="AY9" s="33"/>
      <c r="AZ9" s="33"/>
      <c r="BA9" s="38"/>
      <c r="BB9" s="38"/>
      <c r="BC9" s="38"/>
      <c r="BD9" s="39"/>
    </row>
    <row r="10" spans="1:56" ht="13.5" thickBot="1">
      <c r="A10" s="328" t="s">
        <v>5</v>
      </c>
      <c r="B10" s="328"/>
      <c r="C10" s="328"/>
      <c r="D10" s="328"/>
      <c r="E10" s="328"/>
      <c r="F10" s="328"/>
      <c r="G10" s="285"/>
      <c r="H10" s="336" t="s">
        <v>17</v>
      </c>
      <c r="I10" s="285"/>
      <c r="J10" s="345">
        <v>1.5</v>
      </c>
      <c r="K10" s="346"/>
      <c r="L10" s="346"/>
      <c r="M10" s="346"/>
      <c r="N10" s="346"/>
      <c r="R10" s="196">
        <v>9</v>
      </c>
      <c r="S10" s="197"/>
      <c r="T10" s="14">
        <v>1.03</v>
      </c>
      <c r="U10" s="14">
        <f>1.03+0.000138*('Rural Divided Multilane Seg'!$J$11-400)</f>
        <v>2.3548</v>
      </c>
      <c r="V10" s="15">
        <v>1.25</v>
      </c>
      <c r="AQ10" s="39"/>
      <c r="AR10" s="39"/>
      <c r="AS10" s="39"/>
      <c r="AT10" s="39"/>
      <c r="AU10" s="39"/>
      <c r="AV10" s="39"/>
      <c r="AW10" s="39"/>
      <c r="AX10" s="39"/>
      <c r="AY10" s="46"/>
      <c r="AZ10" s="33"/>
      <c r="BA10" s="38"/>
      <c r="BB10" s="38"/>
      <c r="BC10" s="38"/>
      <c r="BD10" s="39"/>
    </row>
    <row r="11" spans="1:56" ht="16.5" thickBot="1">
      <c r="A11" s="328" t="s">
        <v>6</v>
      </c>
      <c r="B11" s="328"/>
      <c r="C11" s="328"/>
      <c r="D11" s="339"/>
      <c r="E11" s="186" t="s">
        <v>460</v>
      </c>
      <c r="F11" s="187">
        <v>89300</v>
      </c>
      <c r="G11" s="188" t="s">
        <v>461</v>
      </c>
      <c r="H11" s="336" t="s">
        <v>17</v>
      </c>
      <c r="I11" s="285"/>
      <c r="J11" s="337">
        <v>10000</v>
      </c>
      <c r="K11" s="338"/>
      <c r="L11" s="338"/>
      <c r="M11" s="338"/>
      <c r="N11" s="338"/>
      <c r="O11" s="189" t="str">
        <f>IF(J11&gt;F11,"AADT out of range","AADT OK")</f>
        <v>AADT OK</v>
      </c>
      <c r="R11" s="197">
        <v>9.5</v>
      </c>
      <c r="S11" s="210"/>
      <c r="T11" s="14">
        <f>+(T10+T12)/2</f>
        <v>1.02</v>
      </c>
      <c r="U11" s="14">
        <f>+(U10+U12)/2</f>
        <v>2.1024000000000003</v>
      </c>
      <c r="V11" s="15">
        <f>+(V10+V12)/2</f>
        <v>1.2</v>
      </c>
      <c r="AQ11" s="39"/>
      <c r="AR11" s="39"/>
      <c r="AS11" s="39"/>
      <c r="AT11" s="39"/>
      <c r="AU11" s="39"/>
      <c r="AV11" s="39"/>
      <c r="AW11" s="39"/>
      <c r="AX11" s="39"/>
      <c r="AY11" s="33"/>
      <c r="AZ11" s="33"/>
      <c r="BA11" s="38"/>
      <c r="BB11" s="38"/>
      <c r="BC11" s="38"/>
      <c r="BD11" s="39"/>
    </row>
    <row r="12" spans="1:56" ht="12.75">
      <c r="A12" s="328" t="s">
        <v>7</v>
      </c>
      <c r="B12" s="328"/>
      <c r="C12" s="328"/>
      <c r="D12" s="328"/>
      <c r="E12" s="328"/>
      <c r="F12" s="328"/>
      <c r="G12" s="285"/>
      <c r="H12" s="216">
        <v>12</v>
      </c>
      <c r="I12" s="285"/>
      <c r="J12" s="330">
        <v>12</v>
      </c>
      <c r="K12" s="331"/>
      <c r="L12" s="331"/>
      <c r="M12" s="331"/>
      <c r="N12" s="331"/>
      <c r="R12" s="196">
        <v>10</v>
      </c>
      <c r="S12" s="197"/>
      <c r="T12" s="14">
        <v>1.01</v>
      </c>
      <c r="U12" s="14">
        <f>1.01+0.0000875*('Rural Divided Multilane Seg'!$J$11-400)</f>
        <v>1.85</v>
      </c>
      <c r="V12" s="15">
        <v>1.15</v>
      </c>
      <c r="AQ12" s="39"/>
      <c r="AR12" s="39"/>
      <c r="AS12" s="39"/>
      <c r="AT12" s="39"/>
      <c r="AU12" s="39"/>
      <c r="AV12" s="39"/>
      <c r="AW12" s="39"/>
      <c r="AX12" s="39"/>
      <c r="AY12" s="46"/>
      <c r="AZ12" s="33"/>
      <c r="BA12" s="38"/>
      <c r="BB12" s="38"/>
      <c r="BC12" s="38"/>
      <c r="BD12" s="39"/>
    </row>
    <row r="13" spans="1:56" ht="12.75">
      <c r="A13" s="327" t="s">
        <v>397</v>
      </c>
      <c r="B13" s="328"/>
      <c r="C13" s="328"/>
      <c r="D13" s="328"/>
      <c r="E13" s="328"/>
      <c r="F13" s="328"/>
      <c r="G13" s="285"/>
      <c r="H13" s="329">
        <v>8</v>
      </c>
      <c r="I13" s="285"/>
      <c r="J13" s="330">
        <v>6</v>
      </c>
      <c r="K13" s="331"/>
      <c r="L13" s="331"/>
      <c r="M13" s="331"/>
      <c r="N13" s="331"/>
      <c r="R13" s="213">
        <v>10.5</v>
      </c>
      <c r="S13" s="213"/>
      <c r="T13" s="14">
        <f>+(T12+T14)/2</f>
        <v>1.01</v>
      </c>
      <c r="U13" s="14">
        <f>+(U12+U14)/2</f>
        <v>1.4900000000000002</v>
      </c>
      <c r="V13" s="15">
        <f>+(V12+V14)/2</f>
        <v>1.0899999999999999</v>
      </c>
      <c r="AQ13" s="39"/>
      <c r="AR13" s="39"/>
      <c r="AS13" s="39"/>
      <c r="AT13" s="39"/>
      <c r="AU13" s="39"/>
      <c r="AV13" s="39"/>
      <c r="AW13" s="39"/>
      <c r="AX13" s="39"/>
      <c r="AY13" s="114"/>
      <c r="AZ13" s="107"/>
      <c r="BA13" s="107"/>
      <c r="BB13" s="107"/>
      <c r="BC13" s="107"/>
      <c r="BD13" s="39"/>
    </row>
    <row r="14" spans="1:56" ht="12.75">
      <c r="A14" s="327" t="s">
        <v>117</v>
      </c>
      <c r="B14" s="328"/>
      <c r="C14" s="328"/>
      <c r="D14" s="328"/>
      <c r="E14" s="328"/>
      <c r="F14" s="328"/>
      <c r="G14" s="285"/>
      <c r="H14" s="332" t="s">
        <v>67</v>
      </c>
      <c r="I14" s="285"/>
      <c r="J14" s="330" t="s">
        <v>67</v>
      </c>
      <c r="K14" s="331"/>
      <c r="L14" s="331"/>
      <c r="M14" s="331"/>
      <c r="N14" s="331"/>
      <c r="R14" s="196">
        <v>11</v>
      </c>
      <c r="S14" s="197"/>
      <c r="T14" s="14">
        <v>1.01</v>
      </c>
      <c r="U14" s="14">
        <f>1.01+0.0000125*('Rural Divided Multilane Seg'!$J$11-400)</f>
        <v>1.1300000000000001</v>
      </c>
      <c r="V14" s="15">
        <v>1.03</v>
      </c>
      <c r="AQ14" s="39"/>
      <c r="AR14" s="39"/>
      <c r="AS14" s="39"/>
      <c r="AT14" s="39"/>
      <c r="AU14" s="39"/>
      <c r="AV14" s="39"/>
      <c r="AW14" s="39"/>
      <c r="AX14" s="39"/>
      <c r="AY14" s="107"/>
      <c r="AZ14" s="107"/>
      <c r="BA14" s="107"/>
      <c r="BB14" s="107"/>
      <c r="BC14" s="107"/>
      <c r="BD14" s="39"/>
    </row>
    <row r="15" spans="1:56" ht="12.75">
      <c r="A15" s="327" t="s">
        <v>116</v>
      </c>
      <c r="B15" s="328"/>
      <c r="C15" s="328"/>
      <c r="D15" s="328"/>
      <c r="E15" s="328"/>
      <c r="F15" s="328"/>
      <c r="G15" s="285"/>
      <c r="H15" s="329">
        <v>30</v>
      </c>
      <c r="I15" s="285"/>
      <c r="J15" s="335">
        <v>20</v>
      </c>
      <c r="K15" s="331"/>
      <c r="L15" s="331"/>
      <c r="M15" s="331"/>
      <c r="N15" s="331"/>
      <c r="R15" s="209">
        <v>11.5</v>
      </c>
      <c r="S15" s="209"/>
      <c r="T15" s="14">
        <f>+(T14+T16)/2</f>
        <v>1.005</v>
      </c>
      <c r="U15" s="14">
        <f>+(U14+U16)/2</f>
        <v>1.065</v>
      </c>
      <c r="V15" s="15">
        <f>+(V14+V16)/2</f>
        <v>1.0150000000000001</v>
      </c>
      <c r="AQ15" s="39"/>
      <c r="AR15" s="39"/>
      <c r="AS15" s="39"/>
      <c r="AT15" s="39"/>
      <c r="AU15" s="39"/>
      <c r="AV15" s="39"/>
      <c r="AW15" s="39"/>
      <c r="AX15" s="39"/>
      <c r="AY15" s="107"/>
      <c r="AZ15" s="107"/>
      <c r="BA15" s="107"/>
      <c r="BB15" s="107"/>
      <c r="BC15" s="107"/>
      <c r="BD15" s="39"/>
    </row>
    <row r="16" spans="1:49" ht="13.5" thickBot="1">
      <c r="A16" s="327" t="s">
        <v>114</v>
      </c>
      <c r="B16" s="328"/>
      <c r="C16" s="328"/>
      <c r="D16" s="328"/>
      <c r="E16" s="328"/>
      <c r="F16" s="328"/>
      <c r="G16" s="285"/>
      <c r="H16" s="332" t="s">
        <v>115</v>
      </c>
      <c r="I16" s="285"/>
      <c r="J16" s="333" t="s">
        <v>207</v>
      </c>
      <c r="K16" s="334"/>
      <c r="L16" s="334"/>
      <c r="M16" s="334"/>
      <c r="N16" s="334"/>
      <c r="R16" s="211">
        <v>12</v>
      </c>
      <c r="S16" s="212"/>
      <c r="T16" s="16">
        <v>1</v>
      </c>
      <c r="U16" s="16">
        <v>1</v>
      </c>
      <c r="V16" s="17">
        <v>1</v>
      </c>
      <c r="AQ16" s="39"/>
      <c r="AR16" s="39"/>
      <c r="AS16" s="39"/>
      <c r="AT16" s="39"/>
      <c r="AU16" s="39"/>
      <c r="AV16" s="39"/>
      <c r="AW16" s="39"/>
    </row>
    <row r="17" spans="1:49" ht="12.75">
      <c r="A17" s="327" t="s">
        <v>113</v>
      </c>
      <c r="B17" s="328"/>
      <c r="C17" s="328"/>
      <c r="D17" s="328"/>
      <c r="E17" s="328"/>
      <c r="F17" s="328"/>
      <c r="G17" s="285"/>
      <c r="H17" s="329" t="s">
        <v>72</v>
      </c>
      <c r="I17" s="285"/>
      <c r="J17" s="330" t="s">
        <v>72</v>
      </c>
      <c r="K17" s="331"/>
      <c r="L17" s="331"/>
      <c r="M17" s="331"/>
      <c r="N17" s="331"/>
      <c r="R17" s="198" t="s">
        <v>385</v>
      </c>
      <c r="S17" s="199"/>
      <c r="T17" s="199"/>
      <c r="U17" s="199"/>
      <c r="V17" s="199"/>
      <c r="AQ17" s="39"/>
      <c r="AR17" s="39"/>
      <c r="AS17" s="39"/>
      <c r="AT17" s="39"/>
      <c r="AU17" s="39"/>
      <c r="AV17" s="39"/>
      <c r="AW17" s="39"/>
    </row>
    <row r="18" spans="1:22" ht="12.75">
      <c r="A18" s="328" t="s">
        <v>9</v>
      </c>
      <c r="B18" s="328"/>
      <c r="C18" s="328"/>
      <c r="D18" s="328"/>
      <c r="E18" s="328"/>
      <c r="F18" s="328"/>
      <c r="G18" s="285"/>
      <c r="H18" s="329" t="s">
        <v>72</v>
      </c>
      <c r="I18" s="285"/>
      <c r="J18" s="330" t="s">
        <v>72</v>
      </c>
      <c r="K18" s="331"/>
      <c r="L18" s="331"/>
      <c r="M18" s="331"/>
      <c r="N18" s="331"/>
      <c r="R18" s="200"/>
      <c r="S18" s="200"/>
      <c r="T18" s="200"/>
      <c r="U18" s="200"/>
      <c r="V18" s="200"/>
    </row>
    <row r="19" spans="1:22" ht="13.5" thickBot="1">
      <c r="A19" s="321" t="s">
        <v>10</v>
      </c>
      <c r="B19" s="321"/>
      <c r="C19" s="321"/>
      <c r="D19" s="321"/>
      <c r="E19" s="321"/>
      <c r="F19" s="321"/>
      <c r="G19" s="322"/>
      <c r="H19" s="323">
        <v>1</v>
      </c>
      <c r="I19" s="324"/>
      <c r="J19" s="325" t="s">
        <v>17</v>
      </c>
      <c r="K19" s="326"/>
      <c r="L19" s="326"/>
      <c r="M19" s="326"/>
      <c r="N19" s="326"/>
      <c r="R19" s="200"/>
      <c r="S19" s="200"/>
      <c r="T19" s="200"/>
      <c r="U19" s="200"/>
      <c r="V19" s="200"/>
    </row>
    <row r="20" spans="10:14" ht="13.5" thickTop="1">
      <c r="J20" s="72"/>
      <c r="K20" s="73"/>
      <c r="L20" s="73"/>
      <c r="M20" s="73"/>
      <c r="N20" s="73"/>
    </row>
    <row r="21" spans="1:14" ht="13.5" thickBot="1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</row>
    <row r="22" spans="1:14" ht="14.25" thickBot="1" thickTop="1">
      <c r="A22" s="229" t="s">
        <v>120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</row>
    <row r="23" spans="1:14" ht="12.75">
      <c r="A23" s="279" t="s">
        <v>19</v>
      </c>
      <c r="B23" s="303"/>
      <c r="C23" s="299" t="s">
        <v>20</v>
      </c>
      <c r="D23" s="299"/>
      <c r="E23" s="303"/>
      <c r="F23" s="299" t="s">
        <v>21</v>
      </c>
      <c r="G23" s="303"/>
      <c r="H23" s="299" t="s">
        <v>22</v>
      </c>
      <c r="I23" s="303"/>
      <c r="J23" s="299" t="s">
        <v>23</v>
      </c>
      <c r="K23" s="303"/>
      <c r="L23" s="303"/>
      <c r="M23" s="299" t="s">
        <v>24</v>
      </c>
      <c r="N23" s="300"/>
    </row>
    <row r="24" spans="1:14" ht="12.75">
      <c r="A24" s="313" t="s">
        <v>32</v>
      </c>
      <c r="B24" s="314"/>
      <c r="C24" s="317" t="s">
        <v>121</v>
      </c>
      <c r="D24" s="317"/>
      <c r="E24" s="314"/>
      <c r="F24" s="317" t="s">
        <v>122</v>
      </c>
      <c r="G24" s="314"/>
      <c r="H24" s="318" t="s">
        <v>33</v>
      </c>
      <c r="I24" s="314"/>
      <c r="J24" s="318" t="s">
        <v>34</v>
      </c>
      <c r="K24" s="314"/>
      <c r="L24" s="314"/>
      <c r="M24" s="317" t="s">
        <v>107</v>
      </c>
      <c r="N24" s="319"/>
    </row>
    <row r="25" spans="1:14" ht="12.75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20"/>
    </row>
    <row r="26" spans="1:14" ht="12.75">
      <c r="A26" s="312" t="s">
        <v>123</v>
      </c>
      <c r="B26" s="247"/>
      <c r="C26" s="309" t="s">
        <v>124</v>
      </c>
      <c r="D26" s="309"/>
      <c r="E26" s="247"/>
      <c r="F26" s="309" t="s">
        <v>125</v>
      </c>
      <c r="G26" s="247"/>
      <c r="H26" s="309" t="s">
        <v>126</v>
      </c>
      <c r="I26" s="247"/>
      <c r="J26" s="309" t="s">
        <v>127</v>
      </c>
      <c r="K26" s="247"/>
      <c r="L26" s="247"/>
      <c r="M26" s="309" t="s">
        <v>35</v>
      </c>
      <c r="N26" s="310"/>
    </row>
    <row r="27" spans="1:14" ht="12.75">
      <c r="A27" s="307" t="s">
        <v>128</v>
      </c>
      <c r="B27" s="210"/>
      <c r="C27" s="308" t="s">
        <v>436</v>
      </c>
      <c r="D27" s="308"/>
      <c r="E27" s="210"/>
      <c r="F27" s="308" t="s">
        <v>438</v>
      </c>
      <c r="G27" s="247"/>
      <c r="H27" s="308" t="s">
        <v>129</v>
      </c>
      <c r="I27" s="210"/>
      <c r="J27" s="308" t="s">
        <v>130</v>
      </c>
      <c r="K27" s="247"/>
      <c r="L27" s="247"/>
      <c r="M27" s="311" t="s">
        <v>131</v>
      </c>
      <c r="N27" s="310"/>
    </row>
    <row r="28" spans="1:14" ht="13.5" thickBot="1">
      <c r="A28" s="297">
        <f>((IF($J$11&gt;2000,(VLOOKUP($J$12,'Rural Divided Multilane Seg'!$R$10:$V$16,5,FALSE)),IF($J$11&lt;400,(VLOOKUP($J$12,'Rural Divided Multilane Seg'!$R$10:$V$16,3,FALSE)),(VLOOKUP($J$12,'Rural Divided Multilane Seg'!$R$10:$V$16,4)))))-1)*(IF('Segment Tables'!D24="No",'Segment Tables'!E32,'Segment Tables'!I32))+1</f>
        <v>1</v>
      </c>
      <c r="B28" s="305"/>
      <c r="C28" s="295">
        <f>IF(J14="Paved",VLOOKUP(J13,'Segment Tables'!AC10:AG20,3,FALSE),1)</f>
        <v>1.04</v>
      </c>
      <c r="D28" s="306"/>
      <c r="E28" s="305"/>
      <c r="F28" s="295">
        <f>VLOOKUP(J15,'Segment Tables'!AC29:AF38,3,FALSE)</f>
        <v>1.02</v>
      </c>
      <c r="G28" s="296"/>
      <c r="H28" s="295">
        <f>IF($J$17="Present",(1-(IF('Segment Tables'!$D$53="No",((1-(0.72*'Segment Tables'!$E$57)-(0.83*'Segment Tables'!$F$57))*'Segment Tables'!$G$57),((1-(0.72*'Segment Tables'!$I$57)-(0.83*'Segment Tables'!$J$57))*'Segment Tables'!$K$57)))),1)</f>
        <v>1</v>
      </c>
      <c r="I28" s="296"/>
      <c r="J28" s="295">
        <f>IF($J$18="Present",0.94,1)</f>
        <v>1</v>
      </c>
      <c r="K28" s="297"/>
      <c r="L28" s="296"/>
      <c r="M28" s="295">
        <f>$A$28*$C$28*$F$28*$H$28*$J$28</f>
        <v>1.0608</v>
      </c>
      <c r="N28" s="298"/>
    </row>
    <row r="31" ht="13.5" thickBot="1">
      <c r="O31" s="39"/>
    </row>
    <row r="32" spans="1:15" ht="14.25" thickBot="1" thickTop="1">
      <c r="A32" s="229" t="s">
        <v>144</v>
      </c>
      <c r="B32" s="274"/>
      <c r="C32" s="274"/>
      <c r="D32" s="274"/>
      <c r="E32" s="274"/>
      <c r="F32" s="274"/>
      <c r="G32" s="274"/>
      <c r="H32" s="274"/>
      <c r="I32" s="274"/>
      <c r="J32" s="302"/>
      <c r="K32" s="302"/>
      <c r="L32" s="302"/>
      <c r="M32" s="302"/>
      <c r="N32" s="302"/>
      <c r="O32" s="39"/>
    </row>
    <row r="33" spans="1:15" ht="12.75">
      <c r="A33" s="279" t="s">
        <v>19</v>
      </c>
      <c r="B33" s="303"/>
      <c r="C33" s="304" t="s">
        <v>20</v>
      </c>
      <c r="D33" s="304"/>
      <c r="E33" s="303"/>
      <c r="F33" s="299" t="s">
        <v>21</v>
      </c>
      <c r="G33" s="303"/>
      <c r="H33" s="299" t="s">
        <v>22</v>
      </c>
      <c r="I33" s="303"/>
      <c r="J33" s="299" t="s">
        <v>23</v>
      </c>
      <c r="K33" s="303"/>
      <c r="L33" s="2" t="s">
        <v>24</v>
      </c>
      <c r="M33" s="299" t="s">
        <v>25</v>
      </c>
      <c r="N33" s="300"/>
      <c r="O33" s="39"/>
    </row>
    <row r="34" spans="1:15" ht="12.75">
      <c r="A34" s="260" t="s">
        <v>36</v>
      </c>
      <c r="B34" s="247"/>
      <c r="C34" s="301" t="s">
        <v>145</v>
      </c>
      <c r="D34" s="242"/>
      <c r="E34" s="242"/>
      <c r="F34" s="256" t="s">
        <v>383</v>
      </c>
      <c r="G34" s="210"/>
      <c r="H34" s="256" t="s">
        <v>37</v>
      </c>
      <c r="I34" s="289"/>
      <c r="J34" s="256" t="s">
        <v>38</v>
      </c>
      <c r="K34" s="292"/>
      <c r="L34" s="256" t="s">
        <v>10</v>
      </c>
      <c r="M34" s="256" t="s">
        <v>401</v>
      </c>
      <c r="N34" s="288"/>
      <c r="O34" s="39"/>
    </row>
    <row r="35" spans="1:42" ht="12.75">
      <c r="A35" s="285"/>
      <c r="B35" s="247"/>
      <c r="C35" s="290" t="s">
        <v>441</v>
      </c>
      <c r="D35" s="210"/>
      <c r="E35" s="210"/>
      <c r="F35" s="247"/>
      <c r="G35" s="247"/>
      <c r="H35" s="289"/>
      <c r="I35" s="289"/>
      <c r="J35" s="291" t="s">
        <v>151</v>
      </c>
      <c r="K35" s="292"/>
      <c r="L35" s="210"/>
      <c r="M35" s="289"/>
      <c r="N35" s="288"/>
      <c r="O35" s="39"/>
      <c r="P35" s="39"/>
      <c r="Q35" s="92"/>
      <c r="R35" s="39"/>
      <c r="S35" s="39"/>
      <c r="T35" s="33"/>
      <c r="U35" s="33"/>
      <c r="V35" s="46"/>
      <c r="W35" s="33"/>
      <c r="X35" s="12"/>
      <c r="Y35" s="12"/>
      <c r="Z35" s="94"/>
      <c r="AA35" s="12"/>
      <c r="AB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ht="12.75">
      <c r="A36" s="285"/>
      <c r="B36" s="247"/>
      <c r="C36" s="78" t="s">
        <v>146</v>
      </c>
      <c r="D36" s="78" t="s">
        <v>147</v>
      </c>
      <c r="E36" s="78" t="s">
        <v>148</v>
      </c>
      <c r="F36" s="293" t="s">
        <v>149</v>
      </c>
      <c r="G36" s="294"/>
      <c r="H36" s="293" t="s">
        <v>150</v>
      </c>
      <c r="I36" s="294"/>
      <c r="J36" s="292"/>
      <c r="K36" s="292"/>
      <c r="L36" s="210"/>
      <c r="M36" s="233" t="s">
        <v>152</v>
      </c>
      <c r="N36" s="216"/>
      <c r="O36" s="39"/>
      <c r="P36" s="39"/>
      <c r="Q36" s="92"/>
      <c r="R36" s="39"/>
      <c r="S36" s="39"/>
      <c r="T36" s="12"/>
      <c r="U36" s="12"/>
      <c r="V36" s="12"/>
      <c r="W36" s="12"/>
      <c r="X36" s="12"/>
      <c r="Y36" s="12"/>
      <c r="Z36" s="12"/>
      <c r="AA36" s="12"/>
      <c r="AB36" s="39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2.75">
      <c r="A37" s="285" t="s">
        <v>39</v>
      </c>
      <c r="B37" s="247"/>
      <c r="C37" s="79">
        <v>-9.025</v>
      </c>
      <c r="D37" s="79">
        <v>1.049</v>
      </c>
      <c r="E37" s="79">
        <v>1.549</v>
      </c>
      <c r="F37" s="248">
        <f>EXP($C$37+$D$37*LN($J$11)+LN($J$10))</f>
        <v>2.835199083897567</v>
      </c>
      <c r="G37" s="249"/>
      <c r="H37" s="248">
        <f>1/(EXP($E$37+LN($J$10)))</f>
        <v>0.14164021863996015</v>
      </c>
      <c r="I37" s="249"/>
      <c r="J37" s="286">
        <f>+$M$28</f>
        <v>1.0608</v>
      </c>
      <c r="K37" s="257"/>
      <c r="L37" s="194">
        <v>0.908632303167084</v>
      </c>
      <c r="M37" s="248">
        <f>+F37*J37*L37</f>
        <v>2.732783604730227</v>
      </c>
      <c r="N37" s="25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D37" s="51"/>
      <c r="AE37" s="62"/>
      <c r="AF37" s="33"/>
      <c r="AG37" s="33"/>
      <c r="AH37" s="33"/>
      <c r="AI37" s="33"/>
      <c r="AJ37" s="33"/>
      <c r="AK37" s="62"/>
      <c r="AL37" s="33"/>
      <c r="AM37" s="33"/>
      <c r="AN37" s="33"/>
      <c r="AO37" s="33"/>
      <c r="AP37" s="33"/>
    </row>
    <row r="38" spans="1:42" ht="12.75">
      <c r="A38" s="285" t="s">
        <v>40</v>
      </c>
      <c r="B38" s="247"/>
      <c r="C38" s="79">
        <v>-8.837</v>
      </c>
      <c r="D38" s="79">
        <v>0.958</v>
      </c>
      <c r="E38" s="79">
        <v>1.687</v>
      </c>
      <c r="F38" s="248">
        <f>EXP($C$38+$D$38*LN($J$11)+LN($J$10))</f>
        <v>1.4798950668143793</v>
      </c>
      <c r="G38" s="249"/>
      <c r="H38" s="248">
        <f>1/(EXP($E$38+LN($J$10)))</f>
        <v>0.12338260915585812</v>
      </c>
      <c r="I38" s="249"/>
      <c r="J38" s="286">
        <f>+$M$28</f>
        <v>1.0608</v>
      </c>
      <c r="K38" s="257"/>
      <c r="L38" s="194">
        <v>0.7356576810867238</v>
      </c>
      <c r="M38" s="248">
        <f>+F38*J38*L38</f>
        <v>1.1548889004290928</v>
      </c>
      <c r="N38" s="250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D38" s="39"/>
      <c r="AE38" s="62"/>
      <c r="AF38" s="62"/>
      <c r="AG38" s="62"/>
      <c r="AH38" s="62"/>
      <c r="AI38" s="62"/>
      <c r="AJ38" s="39"/>
      <c r="AK38" s="62"/>
      <c r="AL38" s="62"/>
      <c r="AM38" s="62"/>
      <c r="AN38" s="62"/>
      <c r="AO38" s="62"/>
      <c r="AP38" s="39"/>
    </row>
    <row r="39" spans="1:42" ht="14.25">
      <c r="A39" s="287" t="s">
        <v>153</v>
      </c>
      <c r="B39" s="247"/>
      <c r="C39" s="79">
        <v>-8.505</v>
      </c>
      <c r="D39" s="79">
        <v>0.874</v>
      </c>
      <c r="E39" s="79">
        <v>1.74</v>
      </c>
      <c r="F39" s="248">
        <f>EXP($C$39+$D$39*LN($J$11)+LN($J$10))</f>
        <v>0.9515173036237459</v>
      </c>
      <c r="G39" s="249"/>
      <c r="H39" s="248">
        <f>1/(EXP($E$39+LN($J$10)))</f>
        <v>0.11701360041133126</v>
      </c>
      <c r="I39" s="249"/>
      <c r="J39" s="286">
        <f>+$M$28</f>
        <v>1.0608</v>
      </c>
      <c r="K39" s="257"/>
      <c r="L39" s="194">
        <v>0.3104199273248111</v>
      </c>
      <c r="M39" s="248">
        <f>+F39*J39*L39</f>
        <v>0.31332842411932577</v>
      </c>
      <c r="N39" s="250"/>
      <c r="O39" s="39"/>
      <c r="AD39" s="39"/>
      <c r="AE39" s="62"/>
      <c r="AF39" s="62"/>
      <c r="AG39" s="62"/>
      <c r="AH39" s="62"/>
      <c r="AI39" s="62"/>
      <c r="AJ39" s="39"/>
      <c r="AK39" s="62"/>
      <c r="AL39" s="62"/>
      <c r="AM39" s="62"/>
      <c r="AN39" s="62"/>
      <c r="AO39" s="62"/>
      <c r="AP39" s="39"/>
    </row>
    <row r="40" spans="1:42" ht="15.75">
      <c r="A40" s="270" t="s">
        <v>41</v>
      </c>
      <c r="B40" s="271"/>
      <c r="C40" s="268" t="s">
        <v>17</v>
      </c>
      <c r="D40" s="268" t="s">
        <v>17</v>
      </c>
      <c r="E40" s="268" t="s">
        <v>17</v>
      </c>
      <c r="F40" s="264" t="s">
        <v>17</v>
      </c>
      <c r="G40" s="265"/>
      <c r="H40" s="264" t="s">
        <v>17</v>
      </c>
      <c r="I40" s="265"/>
      <c r="J40" s="264" t="s">
        <v>17</v>
      </c>
      <c r="K40" s="265"/>
      <c r="L40" s="268" t="s">
        <v>17</v>
      </c>
      <c r="M40" s="233" t="s">
        <v>154</v>
      </c>
      <c r="N40" s="216"/>
      <c r="O40" s="39"/>
      <c r="AD40" s="39"/>
      <c r="AE40" s="62"/>
      <c r="AF40" s="62"/>
      <c r="AG40" s="62"/>
      <c r="AH40" s="62"/>
      <c r="AI40" s="64"/>
      <c r="AJ40" s="39"/>
      <c r="AK40" s="62"/>
      <c r="AL40" s="62"/>
      <c r="AM40" s="62"/>
      <c r="AN40" s="62"/>
      <c r="AO40" s="64"/>
      <c r="AP40" s="39"/>
    </row>
    <row r="41" spans="1:42" ht="13.5" thickBot="1">
      <c r="A41" s="272"/>
      <c r="B41" s="273"/>
      <c r="C41" s="269"/>
      <c r="D41" s="269"/>
      <c r="E41" s="269"/>
      <c r="F41" s="266"/>
      <c r="G41" s="267"/>
      <c r="H41" s="266"/>
      <c r="I41" s="267"/>
      <c r="J41" s="266"/>
      <c r="K41" s="267"/>
      <c r="L41" s="269"/>
      <c r="M41" s="262">
        <f>+M37-M38</f>
        <v>1.5778947043011344</v>
      </c>
      <c r="N41" s="263"/>
      <c r="O41" s="39"/>
      <c r="P41" s="38"/>
      <c r="AD41" s="46"/>
      <c r="AE41" s="33"/>
      <c r="AF41" s="33"/>
      <c r="AG41" s="33"/>
      <c r="AH41" s="46"/>
      <c r="AI41" s="40"/>
      <c r="AJ41" s="39"/>
      <c r="AK41" s="33"/>
      <c r="AL41" s="33"/>
      <c r="AM41" s="33"/>
      <c r="AN41" s="46"/>
      <c r="AO41" s="40"/>
      <c r="AP41" s="39"/>
    </row>
    <row r="42" spans="1:42" ht="12.75">
      <c r="A42" s="227" t="s">
        <v>155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1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5:42" ht="12.75">
      <c r="O43" s="1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ht="12.75">
      <c r="O44" s="11"/>
    </row>
    <row r="45" spans="1:15" ht="13.5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</row>
    <row r="46" spans="1:15" ht="14.25" thickBot="1" thickTop="1">
      <c r="A46" s="229" t="s">
        <v>160</v>
      </c>
      <c r="B46" s="274"/>
      <c r="C46" s="274"/>
      <c r="D46" s="274"/>
      <c r="E46" s="274"/>
      <c r="F46" s="274"/>
      <c r="G46" s="274"/>
      <c r="H46" s="274"/>
      <c r="I46" s="275"/>
      <c r="J46" s="275"/>
      <c r="K46" s="275"/>
      <c r="L46" s="275"/>
      <c r="M46" s="275"/>
      <c r="N46" s="275"/>
      <c r="O46" s="39"/>
    </row>
    <row r="47" spans="1:15" ht="12.75">
      <c r="A47" s="276" t="s">
        <v>19</v>
      </c>
      <c r="B47" s="277"/>
      <c r="C47" s="6" t="s">
        <v>20</v>
      </c>
      <c r="D47" s="278" t="s">
        <v>21</v>
      </c>
      <c r="E47" s="279"/>
      <c r="F47" s="82" t="s">
        <v>22</v>
      </c>
      <c r="G47" s="280" t="s">
        <v>23</v>
      </c>
      <c r="H47" s="281"/>
      <c r="I47" s="82" t="s">
        <v>24</v>
      </c>
      <c r="J47" s="280" t="s">
        <v>25</v>
      </c>
      <c r="K47" s="282"/>
      <c r="L47" s="82" t="s">
        <v>26</v>
      </c>
      <c r="M47" s="283" t="s">
        <v>27</v>
      </c>
      <c r="N47" s="284"/>
      <c r="O47" s="39"/>
    </row>
    <row r="48" spans="1:15" ht="12.75">
      <c r="A48" s="260" t="s">
        <v>42</v>
      </c>
      <c r="B48" s="256"/>
      <c r="C48" s="256" t="s">
        <v>44</v>
      </c>
      <c r="D48" s="256" t="s">
        <v>402</v>
      </c>
      <c r="E48" s="247"/>
      <c r="F48" s="256" t="s">
        <v>384</v>
      </c>
      <c r="G48" s="256" t="s">
        <v>403</v>
      </c>
      <c r="H48" s="256"/>
      <c r="I48" s="256" t="s">
        <v>161</v>
      </c>
      <c r="J48" s="256" t="s">
        <v>163</v>
      </c>
      <c r="K48" s="256"/>
      <c r="L48" s="256" t="s">
        <v>162</v>
      </c>
      <c r="M48" s="256" t="s">
        <v>404</v>
      </c>
      <c r="N48" s="261"/>
      <c r="O48" s="39"/>
    </row>
    <row r="49" spans="1:15" ht="12.75">
      <c r="A49" s="260"/>
      <c r="B49" s="256"/>
      <c r="C49" s="210"/>
      <c r="D49" s="247"/>
      <c r="E49" s="247"/>
      <c r="F49" s="210"/>
      <c r="G49" s="210"/>
      <c r="H49" s="210"/>
      <c r="I49" s="210"/>
      <c r="J49" s="210"/>
      <c r="K49" s="210"/>
      <c r="L49" s="210"/>
      <c r="M49" s="210"/>
      <c r="N49" s="216"/>
      <c r="O49" s="39"/>
    </row>
    <row r="50" spans="1:15" ht="12.75">
      <c r="A50" s="197"/>
      <c r="B50" s="210"/>
      <c r="C50" s="210"/>
      <c r="D50" s="247"/>
      <c r="E50" s="247"/>
      <c r="F50" s="210"/>
      <c r="G50" s="210"/>
      <c r="H50" s="210"/>
      <c r="I50" s="210"/>
      <c r="J50" s="210"/>
      <c r="K50" s="210"/>
      <c r="L50" s="210"/>
      <c r="M50" s="210"/>
      <c r="N50" s="216"/>
      <c r="O50" s="39"/>
    </row>
    <row r="51" spans="1:15" ht="12.75">
      <c r="A51" s="197"/>
      <c r="B51" s="210"/>
      <c r="C51" s="255" t="s">
        <v>442</v>
      </c>
      <c r="D51" s="214" t="s">
        <v>164</v>
      </c>
      <c r="E51" s="254"/>
      <c r="F51" s="255" t="s">
        <v>442</v>
      </c>
      <c r="G51" s="214" t="s">
        <v>165</v>
      </c>
      <c r="H51" s="254"/>
      <c r="I51" s="255" t="s">
        <v>442</v>
      </c>
      <c r="J51" s="214" t="s">
        <v>166</v>
      </c>
      <c r="K51" s="254"/>
      <c r="L51" s="255" t="s">
        <v>442</v>
      </c>
      <c r="M51" s="214" t="s">
        <v>167</v>
      </c>
      <c r="N51" s="215"/>
      <c r="O51" s="39"/>
    </row>
    <row r="52" spans="1:15" ht="14.25" customHeight="1">
      <c r="A52" s="197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6"/>
      <c r="O52" s="39"/>
    </row>
    <row r="53" spans="1:15" ht="12.75">
      <c r="A53" s="253" t="s">
        <v>39</v>
      </c>
      <c r="B53" s="240"/>
      <c r="C53" s="79">
        <f>IF('Segment Tables'!$D$24="No",SUM('Segment Tables'!$E$26:$E$31),SUM('Segment Tables'!$I$26:$I$31))</f>
        <v>1</v>
      </c>
      <c r="D53" s="248">
        <f>+M37</f>
        <v>2.732783604730227</v>
      </c>
      <c r="E53" s="249"/>
      <c r="F53" s="79">
        <f>IF('Segment Tables'!$D$24="No",SUM('Segment Tables'!$F$26:$F$31),SUM('Segment Tables'!$J$26:$J$31))</f>
        <v>0.9999999999999999</v>
      </c>
      <c r="G53" s="248">
        <f>+M38</f>
        <v>1.1548889004290928</v>
      </c>
      <c r="H53" s="249"/>
      <c r="I53" s="79">
        <f>IF('Segment Tables'!$D$24="No",SUM('Segment Tables'!$G$26:$G$31),SUM('Segment Tables'!$K$26:$K$31))</f>
        <v>1</v>
      </c>
      <c r="J53" s="248">
        <f>+M39</f>
        <v>0.31332842411932577</v>
      </c>
      <c r="K53" s="249"/>
      <c r="L53" s="79">
        <f>IF('Segment Tables'!D$24="No",SUM('Segment Tables'!$H$26:$H$31),SUM('Segment Tables'!$L$26:$L$31))</f>
        <v>1</v>
      </c>
      <c r="M53" s="248">
        <f>+M41</f>
        <v>1.5778947043011344</v>
      </c>
      <c r="N53" s="250"/>
      <c r="O53" s="39"/>
    </row>
    <row r="54" spans="1:15" ht="15.75">
      <c r="A54" s="257"/>
      <c r="B54" s="258"/>
      <c r="C54" s="80"/>
      <c r="D54" s="233" t="s">
        <v>168</v>
      </c>
      <c r="E54" s="258"/>
      <c r="F54" s="80"/>
      <c r="G54" s="259" t="s">
        <v>169</v>
      </c>
      <c r="H54" s="247"/>
      <c r="I54" s="80"/>
      <c r="J54" s="233" t="s">
        <v>170</v>
      </c>
      <c r="K54" s="210"/>
      <c r="L54" s="80"/>
      <c r="M54" s="233" t="s">
        <v>171</v>
      </c>
      <c r="N54" s="216"/>
      <c r="O54" s="39"/>
    </row>
    <row r="55" spans="1:15" ht="12.75">
      <c r="A55" s="246" t="s">
        <v>46</v>
      </c>
      <c r="B55" s="247"/>
      <c r="C55" s="79">
        <f>IF('Segment Tables'!$D$24="No",'Segment Tables'!E26,'Segment Tables'!I26)</f>
        <v>0.016112266112266113</v>
      </c>
      <c r="D55" s="248">
        <f aca="true" t="shared" si="0" ref="D55:D60">+C55*$D$53</f>
        <v>0.04403133666665127</v>
      </c>
      <c r="E55" s="249"/>
      <c r="F55" s="79">
        <f>IF('Segment Tables'!$D$24="No",'Segment Tables'!F26,'Segment Tables'!J26)</f>
        <v>0.02502194907813872</v>
      </c>
      <c r="G55" s="248">
        <f aca="true" t="shared" si="1" ref="G55:G60">+F55*$G$53</f>
        <v>0.028897571257444375</v>
      </c>
      <c r="H55" s="249"/>
      <c r="I55" s="79">
        <f>IF('Segment Tables'!$D$24="No",'Segment Tables'!G26,'Segment Tables'!K26)</f>
        <v>0.03930817610062893</v>
      </c>
      <c r="J55" s="248">
        <f aca="true" t="shared" si="2" ref="J55:J60">+$J$53*I55</f>
        <v>0.012316368872615006</v>
      </c>
      <c r="K55" s="249"/>
      <c r="L55" s="79">
        <f>IF('Segment Tables'!$D$24="No",'Segment Tables'!H26,'Segment Tables'!L26)</f>
        <v>0.01030337721808815</v>
      </c>
      <c r="M55" s="248">
        <f aca="true" t="shared" si="3" ref="M55:M60">+$M$53*L55</f>
        <v>0.016257644348838248</v>
      </c>
      <c r="N55" s="250"/>
      <c r="O55" s="39"/>
    </row>
    <row r="56" spans="1:15" ht="12.75">
      <c r="A56" s="246" t="s">
        <v>48</v>
      </c>
      <c r="B56" s="247"/>
      <c r="C56" s="79">
        <f>IF('Segment Tables'!$D$24="No",'Segment Tables'!E27,'Segment Tables'!I27)</f>
        <v>0.11295911295911296</v>
      </c>
      <c r="D56" s="248">
        <f t="shared" si="0"/>
        <v>0.3086928118995336</v>
      </c>
      <c r="E56" s="249"/>
      <c r="F56" s="79">
        <f>IF('Segment Tables'!$D$24="No",'Segment Tables'!F27,'Segment Tables'!J27)</f>
        <v>0.061018437225636525</v>
      </c>
      <c r="G56" s="248">
        <f t="shared" si="1"/>
        <v>0.07046951587341699</v>
      </c>
      <c r="H56" s="249"/>
      <c r="I56" s="79">
        <f>IF('Segment Tables'!$D$24="No",'Segment Tables'!G27,'Segment Tables'!K27)</f>
        <v>0.0440251572327044</v>
      </c>
      <c r="J56" s="248">
        <f t="shared" si="2"/>
        <v>0.013794333137328807</v>
      </c>
      <c r="K56" s="249"/>
      <c r="L56" s="79">
        <f>IF('Segment Tables'!$D$24="No",'Segment Tables'!H27,'Segment Tables'!L27)</f>
        <v>0.14682312535775616</v>
      </c>
      <c r="M56" s="248">
        <f t="shared" si="3"/>
        <v>0.23167143197094503</v>
      </c>
      <c r="N56" s="250"/>
      <c r="O56" s="19"/>
    </row>
    <row r="57" spans="1:15" ht="12.75">
      <c r="A57" s="226" t="s">
        <v>47</v>
      </c>
      <c r="B57" s="247"/>
      <c r="C57" s="79">
        <f>IF('Segment Tables'!$D$24="No",'Segment Tables'!E28,'Segment Tables'!I28)</f>
        <v>0.2648995148995149</v>
      </c>
      <c r="D57" s="248">
        <f t="shared" si="0"/>
        <v>0.7239130512183849</v>
      </c>
      <c r="E57" s="249"/>
      <c r="F57" s="79">
        <f>IF('Segment Tables'!$D$24="No",'Segment Tables'!F28,'Segment Tables'!J28)</f>
        <v>0.3244073748902546</v>
      </c>
      <c r="G57" s="248">
        <f t="shared" si="1"/>
        <v>0.37465447647809463</v>
      </c>
      <c r="H57" s="249"/>
      <c r="I57" s="79">
        <f>IF('Segment Tables'!$D$24="No",'Segment Tables'!G28,'Segment Tables'!K28)</f>
        <v>0.2672955974842767</v>
      </c>
      <c r="J57" s="248">
        <f t="shared" si="2"/>
        <v>0.08375130833378204</v>
      </c>
      <c r="K57" s="249"/>
      <c r="L57" s="79">
        <f>IF('Segment Tables'!$D$24="No",'Segment Tables'!H28,'Segment Tables'!L28)</f>
        <v>0.22610188895248998</v>
      </c>
      <c r="M57" s="248">
        <f t="shared" si="3"/>
        <v>0.3567649732106171</v>
      </c>
      <c r="N57" s="250"/>
      <c r="O57" s="19"/>
    </row>
    <row r="58" spans="1:15" ht="12.75">
      <c r="A58" s="246" t="s">
        <v>45</v>
      </c>
      <c r="B58" s="247"/>
      <c r="C58" s="79">
        <f>IF('Segment Tables'!$D$24="No",'Segment Tables'!E29,'Segment Tables'!I29)</f>
        <v>0.10914760914760915</v>
      </c>
      <c r="D58" s="248">
        <f t="shared" si="0"/>
        <v>0.29827679677408925</v>
      </c>
      <c r="E58" s="249"/>
      <c r="F58" s="79">
        <f>IF('Segment Tables'!$D$24="No",'Segment Tables'!F29,'Segment Tables'!J29)</f>
        <v>0.1391571553994732</v>
      </c>
      <c r="G58" s="248">
        <f t="shared" si="1"/>
        <v>0.160711054186138</v>
      </c>
      <c r="H58" s="249"/>
      <c r="I58" s="79">
        <f>IF('Segment Tables'!$D$24="No",'Segment Tables'!G29,'Segment Tables'!K29)</f>
        <v>0.1619496855345912</v>
      </c>
      <c r="J58" s="248">
        <f t="shared" si="2"/>
        <v>0.05074343975517383</v>
      </c>
      <c r="K58" s="249"/>
      <c r="L58" s="79">
        <f>IF('Segment Tables'!$D$24="No",'Segment Tables'!H29,'Segment Tables'!L29)</f>
        <v>0.08958214081282198</v>
      </c>
      <c r="M58" s="248">
        <f t="shared" si="3"/>
        <v>0.14135118558851031</v>
      </c>
      <c r="N58" s="250"/>
      <c r="O58" s="19"/>
    </row>
    <row r="59" spans="1:15" ht="12.75">
      <c r="A59" s="246" t="s">
        <v>172</v>
      </c>
      <c r="B59" s="247"/>
      <c r="C59" s="79">
        <f>IF('Segment Tables'!$D$24="No",'Segment Tables'!E30,'Segment Tables'!I30)</f>
        <v>0.4293139293139293</v>
      </c>
      <c r="D59" s="248">
        <f t="shared" si="0"/>
        <v>1.1732220673114178</v>
      </c>
      <c r="E59" s="249"/>
      <c r="F59" s="79">
        <f>IF('Segment Tables'!$D$24="No",'Segment Tables'!F30,'Segment Tables'!J30)</f>
        <v>0.40166812993854256</v>
      </c>
      <c r="G59" s="248">
        <f t="shared" si="1"/>
        <v>0.46388206492213335</v>
      </c>
      <c r="H59" s="249"/>
      <c r="I59" s="79">
        <f>IF('Segment Tables'!$D$24="No",'Segment Tables'!G30,'Segment Tables'!K30)</f>
        <v>0.44339622641509435</v>
      </c>
      <c r="J59" s="248">
        <f t="shared" si="2"/>
        <v>0.13892864088309728</v>
      </c>
      <c r="K59" s="249"/>
      <c r="L59" s="79">
        <f>IF('Segment Tables'!$D$24="No",'Segment Tables'!H30,'Segment Tables'!L30)</f>
        <v>0.44733829421866056</v>
      </c>
      <c r="M59" s="248">
        <f t="shared" si="3"/>
        <v>0.7058527254787272</v>
      </c>
      <c r="N59" s="250"/>
      <c r="O59" s="39"/>
    </row>
    <row r="60" spans="1:15" ht="13.5" thickBot="1">
      <c r="A60" s="251" t="s">
        <v>173</v>
      </c>
      <c r="B60" s="252"/>
      <c r="C60" s="79">
        <f>IF('Segment Tables'!$D$24="No",'Segment Tables'!E31,'Segment Tables'!I31)</f>
        <v>0.06756756756756757</v>
      </c>
      <c r="D60" s="248">
        <f t="shared" si="0"/>
        <v>0.1846475408601505</v>
      </c>
      <c r="E60" s="249"/>
      <c r="F60" s="79">
        <f>IF('Segment Tables'!$D$24="No",'Segment Tables'!F31,'Segment Tables'!J31)</f>
        <v>0.048726953467954345</v>
      </c>
      <c r="G60" s="248">
        <f t="shared" si="1"/>
        <v>0.05627421771186536</v>
      </c>
      <c r="H60" s="249"/>
      <c r="I60" s="79">
        <f>IF('Segment Tables'!$D$24="No",'Segment Tables'!G31,'Segment Tables'!K31)</f>
        <v>0.0440251572327044</v>
      </c>
      <c r="J60" s="248">
        <f t="shared" si="2"/>
        <v>0.013794333137328807</v>
      </c>
      <c r="K60" s="249"/>
      <c r="L60" s="79">
        <f>IF('Segment Tables'!$D$24="No",'Segment Tables'!H31,'Segment Tables'!L31)</f>
        <v>0.07985117344018317</v>
      </c>
      <c r="M60" s="248">
        <f t="shared" si="3"/>
        <v>0.12599674370349642</v>
      </c>
      <c r="N60" s="250"/>
      <c r="O60" s="39"/>
    </row>
    <row r="61" spans="1:15" ht="12.75">
      <c r="A61" s="227" t="s">
        <v>155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Bot="1" thickTop="1">
      <c r="A64" s="229" t="s">
        <v>179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39"/>
    </row>
    <row r="65" spans="1:15" ht="12.75">
      <c r="A65" s="230" t="s">
        <v>19</v>
      </c>
      <c r="B65" s="231"/>
      <c r="C65" s="231"/>
      <c r="D65" s="232" t="s">
        <v>20</v>
      </c>
      <c r="E65" s="231"/>
      <c r="F65" s="231"/>
      <c r="G65" s="231"/>
      <c r="H65" s="231"/>
      <c r="I65" s="234" t="s">
        <v>21</v>
      </c>
      <c r="J65" s="231"/>
      <c r="K65" s="231"/>
      <c r="L65" s="232" t="s">
        <v>22</v>
      </c>
      <c r="M65" s="231"/>
      <c r="N65" s="235"/>
      <c r="O65" s="39"/>
    </row>
    <row r="66" spans="1:15" ht="12.75">
      <c r="A66" s="236" t="s">
        <v>49</v>
      </c>
      <c r="B66" s="237"/>
      <c r="C66" s="237"/>
      <c r="D66" s="239" t="s">
        <v>50</v>
      </c>
      <c r="E66" s="240"/>
      <c r="F66" s="240"/>
      <c r="G66" s="240"/>
      <c r="H66" s="240"/>
      <c r="I66" s="241" t="s">
        <v>51</v>
      </c>
      <c r="J66" s="242"/>
      <c r="K66" s="242"/>
      <c r="L66" s="239" t="s">
        <v>52</v>
      </c>
      <c r="M66" s="244"/>
      <c r="N66" s="245"/>
      <c r="O66" s="39"/>
    </row>
    <row r="67" spans="1:15" ht="12.75">
      <c r="A67" s="238"/>
      <c r="B67" s="237"/>
      <c r="C67" s="237"/>
      <c r="D67" s="223" t="s">
        <v>180</v>
      </c>
      <c r="E67" s="210"/>
      <c r="F67" s="210"/>
      <c r="G67" s="210"/>
      <c r="H67" s="210"/>
      <c r="I67" s="243"/>
      <c r="J67" s="243"/>
      <c r="K67" s="243"/>
      <c r="L67" s="223" t="s">
        <v>181</v>
      </c>
      <c r="M67" s="210"/>
      <c r="N67" s="216"/>
      <c r="O67" s="39"/>
    </row>
    <row r="68" spans="1:15" ht="12.75">
      <c r="A68" s="224" t="s">
        <v>39</v>
      </c>
      <c r="B68" s="225"/>
      <c r="C68" s="225"/>
      <c r="D68" s="220">
        <f>+M37</f>
        <v>2.732783604730227</v>
      </c>
      <c r="E68" s="221"/>
      <c r="F68" s="221"/>
      <c r="G68" s="221"/>
      <c r="H68" s="221"/>
      <c r="I68" s="220">
        <f>+$J$10</f>
        <v>1.5</v>
      </c>
      <c r="J68" s="221"/>
      <c r="K68" s="221"/>
      <c r="L68" s="220">
        <f>+D68/I68</f>
        <v>1.8218557364868182</v>
      </c>
      <c r="M68" s="221"/>
      <c r="N68" s="222"/>
      <c r="O68" s="39"/>
    </row>
    <row r="69" spans="1:15" ht="12.75">
      <c r="A69" s="224" t="s">
        <v>40</v>
      </c>
      <c r="B69" s="225"/>
      <c r="C69" s="225"/>
      <c r="D69" s="220">
        <f>+M38</f>
        <v>1.1548889004290928</v>
      </c>
      <c r="E69" s="221"/>
      <c r="F69" s="221"/>
      <c r="G69" s="221"/>
      <c r="H69" s="221"/>
      <c r="I69" s="220">
        <f>+$J$10</f>
        <v>1.5</v>
      </c>
      <c r="J69" s="221"/>
      <c r="K69" s="221"/>
      <c r="L69" s="220">
        <f>+D69/I69</f>
        <v>0.7699259336193952</v>
      </c>
      <c r="M69" s="221"/>
      <c r="N69" s="222"/>
      <c r="O69" s="39"/>
    </row>
    <row r="70" spans="1:15" ht="14.25">
      <c r="A70" s="226" t="s">
        <v>153</v>
      </c>
      <c r="B70" s="225"/>
      <c r="C70" s="225"/>
      <c r="D70" s="220">
        <f>+M39</f>
        <v>0.31332842411932577</v>
      </c>
      <c r="E70" s="221"/>
      <c r="F70" s="221"/>
      <c r="G70" s="221"/>
      <c r="H70" s="221"/>
      <c r="I70" s="220">
        <f>+$J$10</f>
        <v>1.5</v>
      </c>
      <c r="J70" s="221"/>
      <c r="K70" s="221"/>
      <c r="L70" s="220">
        <f>+D70/I70</f>
        <v>0.2088856160795505</v>
      </c>
      <c r="M70" s="221"/>
      <c r="N70" s="222"/>
      <c r="O70" s="39"/>
    </row>
    <row r="71" spans="1:15" ht="13.5" thickBot="1">
      <c r="A71" s="217" t="s">
        <v>41</v>
      </c>
      <c r="B71" s="218"/>
      <c r="C71" s="218"/>
      <c r="D71" s="219">
        <f>+M41</f>
        <v>1.5778947043011344</v>
      </c>
      <c r="E71" s="219"/>
      <c r="F71" s="219"/>
      <c r="G71" s="219"/>
      <c r="H71" s="219"/>
      <c r="I71" s="220">
        <f>+$J$10</f>
        <v>1.5</v>
      </c>
      <c r="J71" s="221"/>
      <c r="K71" s="221"/>
      <c r="L71" s="220">
        <f>+D71/I71</f>
        <v>1.0519298028674229</v>
      </c>
      <c r="M71" s="221"/>
      <c r="N71" s="222"/>
      <c r="O71" s="39"/>
    </row>
    <row r="72" spans="1:15" ht="12.75">
      <c r="A72" s="227" t="s">
        <v>155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39"/>
    </row>
    <row r="73" spans="1:15" ht="12.75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ht="12.75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ht="12.75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ht="12.75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ht="12.75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ht="12.75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ht="12.75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ht="12.75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ht="12.75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ht="12.75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sheetProtection/>
  <mergeCells count="234"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K4:N4"/>
    <mergeCell ref="A7:C7"/>
    <mergeCell ref="E7:G7"/>
    <mergeCell ref="H7:J7"/>
    <mergeCell ref="K7:N7"/>
    <mergeCell ref="E6:G6"/>
    <mergeCell ref="H6:J6"/>
    <mergeCell ref="K6:N6"/>
    <mergeCell ref="A9:G9"/>
    <mergeCell ref="H9:I9"/>
    <mergeCell ref="J9:N9"/>
    <mergeCell ref="A6:C6"/>
    <mergeCell ref="A10:G10"/>
    <mergeCell ref="H10:I10"/>
    <mergeCell ref="J10:N10"/>
    <mergeCell ref="A8:G8"/>
    <mergeCell ref="H8:I8"/>
    <mergeCell ref="J8:N8"/>
    <mergeCell ref="H11:I11"/>
    <mergeCell ref="J11:N11"/>
    <mergeCell ref="A13:G13"/>
    <mergeCell ref="H13:I13"/>
    <mergeCell ref="J13:N13"/>
    <mergeCell ref="A12:G12"/>
    <mergeCell ref="H12:I12"/>
    <mergeCell ref="J12:N12"/>
    <mergeCell ref="A11:D11"/>
    <mergeCell ref="A14:G14"/>
    <mergeCell ref="H14:I14"/>
    <mergeCell ref="J14:N14"/>
    <mergeCell ref="A16:G16"/>
    <mergeCell ref="H16:I16"/>
    <mergeCell ref="J16:N16"/>
    <mergeCell ref="A15:G15"/>
    <mergeCell ref="H15:I15"/>
    <mergeCell ref="J15:N15"/>
    <mergeCell ref="A19:G19"/>
    <mergeCell ref="H19:I19"/>
    <mergeCell ref="J19:N19"/>
    <mergeCell ref="A17:G17"/>
    <mergeCell ref="H17:I17"/>
    <mergeCell ref="J17:N17"/>
    <mergeCell ref="A18:G18"/>
    <mergeCell ref="H18:I18"/>
    <mergeCell ref="J18:N18"/>
    <mergeCell ref="H23:I23"/>
    <mergeCell ref="J23:L23"/>
    <mergeCell ref="A22:N22"/>
    <mergeCell ref="A23:B23"/>
    <mergeCell ref="C23:E23"/>
    <mergeCell ref="F23:G23"/>
    <mergeCell ref="A24:B25"/>
    <mergeCell ref="C24:E25"/>
    <mergeCell ref="F24:G25"/>
    <mergeCell ref="H24:I25"/>
    <mergeCell ref="J24:L25"/>
    <mergeCell ref="M24:N25"/>
    <mergeCell ref="M26:N26"/>
    <mergeCell ref="M23:N23"/>
    <mergeCell ref="H27:I27"/>
    <mergeCell ref="J27:L27"/>
    <mergeCell ref="M27:N27"/>
    <mergeCell ref="A26:B26"/>
    <mergeCell ref="C26:E26"/>
    <mergeCell ref="F26:G26"/>
    <mergeCell ref="H26:I26"/>
    <mergeCell ref="J26:L26"/>
    <mergeCell ref="A28:B28"/>
    <mergeCell ref="C28:E28"/>
    <mergeCell ref="F28:G28"/>
    <mergeCell ref="A27:B27"/>
    <mergeCell ref="C27:E27"/>
    <mergeCell ref="F27:G27"/>
    <mergeCell ref="A32:N32"/>
    <mergeCell ref="A33:B33"/>
    <mergeCell ref="C33:E33"/>
    <mergeCell ref="F33:G33"/>
    <mergeCell ref="H33:I33"/>
    <mergeCell ref="J33:K33"/>
    <mergeCell ref="H28:I28"/>
    <mergeCell ref="J28:L28"/>
    <mergeCell ref="M28:N28"/>
    <mergeCell ref="M33:N33"/>
    <mergeCell ref="A34:B36"/>
    <mergeCell ref="C34:E34"/>
    <mergeCell ref="F34:G35"/>
    <mergeCell ref="H34:I35"/>
    <mergeCell ref="J34:K34"/>
    <mergeCell ref="L34:L36"/>
    <mergeCell ref="M34:N35"/>
    <mergeCell ref="C35:E35"/>
    <mergeCell ref="J35:K36"/>
    <mergeCell ref="F36:G36"/>
    <mergeCell ref="H36:I36"/>
    <mergeCell ref="M36:N36"/>
    <mergeCell ref="A37:B37"/>
    <mergeCell ref="F37:G37"/>
    <mergeCell ref="H37:I37"/>
    <mergeCell ref="J37:K37"/>
    <mergeCell ref="M37:N37"/>
    <mergeCell ref="H40:I41"/>
    <mergeCell ref="A39:B39"/>
    <mergeCell ref="F39:G39"/>
    <mergeCell ref="H39:I39"/>
    <mergeCell ref="J39:K39"/>
    <mergeCell ref="M39:N39"/>
    <mergeCell ref="A38:B38"/>
    <mergeCell ref="F38:G38"/>
    <mergeCell ref="H38:I38"/>
    <mergeCell ref="J38:K38"/>
    <mergeCell ref="M38:N38"/>
    <mergeCell ref="A42:N42"/>
    <mergeCell ref="A46:N46"/>
    <mergeCell ref="A47:B47"/>
    <mergeCell ref="D47:E47"/>
    <mergeCell ref="G47:H47"/>
    <mergeCell ref="J47:K47"/>
    <mergeCell ref="M47:N47"/>
    <mergeCell ref="M41:N41"/>
    <mergeCell ref="J40:K41"/>
    <mergeCell ref="L40:L41"/>
    <mergeCell ref="M40:N40"/>
    <mergeCell ref="A40:B41"/>
    <mergeCell ref="C40:C41"/>
    <mergeCell ref="D40:D41"/>
    <mergeCell ref="E40:E41"/>
    <mergeCell ref="F40:G41"/>
    <mergeCell ref="M53:N53"/>
    <mergeCell ref="A48:B52"/>
    <mergeCell ref="C48:C50"/>
    <mergeCell ref="D48:E50"/>
    <mergeCell ref="F48:F50"/>
    <mergeCell ref="L51:L52"/>
    <mergeCell ref="L48:L50"/>
    <mergeCell ref="M48:N50"/>
    <mergeCell ref="C51:C52"/>
    <mergeCell ref="G51:H52"/>
    <mergeCell ref="I51:I52"/>
    <mergeCell ref="J51:K52"/>
    <mergeCell ref="G48:H50"/>
    <mergeCell ref="I48:I50"/>
    <mergeCell ref="J53:K53"/>
    <mergeCell ref="A54:B54"/>
    <mergeCell ref="D54:E54"/>
    <mergeCell ref="G54:H54"/>
    <mergeCell ref="J54:K54"/>
    <mergeCell ref="J48:K50"/>
    <mergeCell ref="A53:B53"/>
    <mergeCell ref="D53:E53"/>
    <mergeCell ref="G53:H53"/>
    <mergeCell ref="D51:E52"/>
    <mergeCell ref="F51:F52"/>
    <mergeCell ref="M57:N57"/>
    <mergeCell ref="A55:B55"/>
    <mergeCell ref="D55:E55"/>
    <mergeCell ref="G55:H55"/>
    <mergeCell ref="J55:K55"/>
    <mergeCell ref="M55:N55"/>
    <mergeCell ref="A61:N61"/>
    <mergeCell ref="A56:B56"/>
    <mergeCell ref="D56:E56"/>
    <mergeCell ref="G56:H56"/>
    <mergeCell ref="J56:K56"/>
    <mergeCell ref="M56:N56"/>
    <mergeCell ref="A57:B57"/>
    <mergeCell ref="D57:E57"/>
    <mergeCell ref="G57:H57"/>
    <mergeCell ref="J57:K57"/>
    <mergeCell ref="M59:N59"/>
    <mergeCell ref="A60:B60"/>
    <mergeCell ref="D60:E60"/>
    <mergeCell ref="G60:H60"/>
    <mergeCell ref="J60:K60"/>
    <mergeCell ref="M60:N60"/>
    <mergeCell ref="L69:N69"/>
    <mergeCell ref="A58:B58"/>
    <mergeCell ref="D58:E58"/>
    <mergeCell ref="G58:H58"/>
    <mergeCell ref="J58:K58"/>
    <mergeCell ref="M58:N58"/>
    <mergeCell ref="A59:B59"/>
    <mergeCell ref="D59:E59"/>
    <mergeCell ref="G59:H59"/>
    <mergeCell ref="J59:K59"/>
    <mergeCell ref="M54:N54"/>
    <mergeCell ref="I70:K70"/>
    <mergeCell ref="I65:K65"/>
    <mergeCell ref="L65:N65"/>
    <mergeCell ref="A66:C67"/>
    <mergeCell ref="D66:H66"/>
    <mergeCell ref="I66:K67"/>
    <mergeCell ref="L66:N66"/>
    <mergeCell ref="D67:H67"/>
    <mergeCell ref="I68:K68"/>
    <mergeCell ref="D70:H70"/>
    <mergeCell ref="A72:N72"/>
    <mergeCell ref="A64:N64"/>
    <mergeCell ref="A65:C65"/>
    <mergeCell ref="D65:H65"/>
    <mergeCell ref="L70:N70"/>
    <mergeCell ref="L68:N68"/>
    <mergeCell ref="A69:C69"/>
    <mergeCell ref="D69:H69"/>
    <mergeCell ref="I69:K69"/>
    <mergeCell ref="R14:S14"/>
    <mergeCell ref="M51:N52"/>
    <mergeCell ref="A71:C71"/>
    <mergeCell ref="D71:H71"/>
    <mergeCell ref="I71:K71"/>
    <mergeCell ref="L71:N71"/>
    <mergeCell ref="L67:N67"/>
    <mergeCell ref="A68:C68"/>
    <mergeCell ref="D68:H68"/>
    <mergeCell ref="A70:C70"/>
    <mergeCell ref="R12:S12"/>
    <mergeCell ref="R17:V19"/>
    <mergeCell ref="R6:V7"/>
    <mergeCell ref="R8:S9"/>
    <mergeCell ref="T8:V8"/>
    <mergeCell ref="R15:S15"/>
    <mergeCell ref="R11:S11"/>
    <mergeCell ref="R16:S16"/>
    <mergeCell ref="R13:S13"/>
    <mergeCell ref="R10:S10"/>
  </mergeCells>
  <conditionalFormatting sqref="J11:N11">
    <cfRule type="cellIs" priority="1" dxfId="0" operator="greaterThan" stopIfTrue="1">
      <formula>$F$11</formula>
    </cfRule>
  </conditionalFormatting>
  <dataValidations count="10">
    <dataValidation operator="greaterThan" allowBlank="1" showInputMessage="1" showErrorMessage="1" sqref="J9:N9"/>
    <dataValidation type="decimal" operator="greaterThan" allowBlank="1" showInputMessage="1" showErrorMessage="1" sqref="J10:N10">
      <formula1>0</formula1>
    </dataValidation>
    <dataValidation type="list" allowBlank="1" showInputMessage="1" showErrorMessage="1" sqref="J14:N14">
      <formula1>SType</formula1>
    </dataValidation>
    <dataValidation type="list" allowBlank="1" showInputMessage="1" showErrorMessage="1" errorTitle="Input Error" error="Select from the shoulder width options provided.  Refer to p. 11-13 of the HSM for shoulder rounding recommendations." sqref="J13:N13">
      <formula1>Shld2</formula1>
    </dataValidation>
    <dataValidation type="list" allowBlank="1" showInputMessage="1" showErrorMessage="1" errorTitle="Input Error" error="Select from the lane width options provided. Refer to p. 11-13 of the HSM for lane width rounding recommendations.  " sqref="J12:N12">
      <formula1>LWidth</formula1>
    </dataValidation>
    <dataValidation type="whole" operator="lessThanOrEqual" allowBlank="1" showInputMessage="1" showErrorMessage="1" sqref="J11:N11">
      <formula1>89300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Invalid" sqref="J18:N18">
      <formula1>SpEnforce</formula1>
    </dataValidation>
    <dataValidation type="list" allowBlank="1" showInputMessage="1" showErrorMessage="1" errorTitle="Input Error" error="Please select only median width options shown.  Refer to rounding criteria on p. 11-12 of the HSM for candidate median widths." sqref="J15:N15">
      <formula1>MWidth</formula1>
    </dataValidation>
    <dataValidation type="whole" operator="greaterThan" allowBlank="1" showInputMessage="1" showErrorMessage="1" sqref="K7:N7">
      <formula1>1990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9" max="9" width="11.00390625" style="0" customWidth="1"/>
    <col min="11" max="11" width="10.57421875" style="0" customWidth="1"/>
    <col min="12" max="12" width="11.140625" style="0" customWidth="1"/>
    <col min="13" max="13" width="12.28125" style="0" customWidth="1"/>
    <col min="14" max="14" width="11.28125" style="0" customWidth="1"/>
    <col min="18" max="18" width="11.28125" style="0" customWidth="1"/>
    <col min="19" max="19" width="11.00390625" style="0" customWidth="1"/>
    <col min="20" max="20" width="12.00390625" style="0" customWidth="1"/>
    <col min="21" max="21" width="13.28125" style="0" customWidth="1"/>
    <col min="22" max="22" width="10.28125" style="0" customWidth="1"/>
    <col min="23" max="23" width="11.00390625" style="0" customWidth="1"/>
    <col min="24" max="24" width="10.7109375" style="0" customWidth="1"/>
    <col min="25" max="25" width="13.28125" style="0" customWidth="1"/>
    <col min="26" max="26" width="10.00390625" style="0" customWidth="1"/>
    <col min="27" max="27" width="13.28125" style="0" customWidth="1"/>
    <col min="33" max="33" width="10.7109375" style="0" customWidth="1"/>
    <col min="37" max="37" width="10.140625" style="0" customWidth="1"/>
  </cols>
  <sheetData>
    <row r="1" spans="50:56" ht="13.5" thickBot="1">
      <c r="AX1" s="39"/>
      <c r="AY1" s="39"/>
      <c r="AZ1" s="39"/>
      <c r="BA1" s="39"/>
      <c r="BB1" s="39"/>
      <c r="BC1" s="39"/>
      <c r="BD1" s="39"/>
    </row>
    <row r="2" spans="1:56" ht="14.25" thickBot="1" thickTop="1">
      <c r="A2" s="229" t="s">
        <v>112</v>
      </c>
      <c r="B2" s="274"/>
      <c r="C2" s="274"/>
      <c r="D2" s="274"/>
      <c r="E2" s="302"/>
      <c r="F2" s="302"/>
      <c r="G2" s="302"/>
      <c r="H2" s="302"/>
      <c r="I2" s="302"/>
      <c r="J2" s="302"/>
      <c r="K2" s="302"/>
      <c r="L2" s="302"/>
      <c r="M2" s="302"/>
      <c r="N2" s="302"/>
      <c r="R2" s="151" t="s">
        <v>386</v>
      </c>
      <c r="AX2" s="39"/>
      <c r="AY2" s="62"/>
      <c r="AZ2" s="62"/>
      <c r="BA2" s="62"/>
      <c r="BB2" s="62"/>
      <c r="BC2" s="62"/>
      <c r="BD2" s="39"/>
    </row>
    <row r="3" spans="1:56" ht="13.5" customHeight="1">
      <c r="A3" s="361" t="s">
        <v>0</v>
      </c>
      <c r="B3" s="362"/>
      <c r="C3" s="362"/>
      <c r="D3" s="362"/>
      <c r="E3" s="362"/>
      <c r="F3" s="362"/>
      <c r="G3" s="363"/>
      <c r="H3" s="364" t="s">
        <v>11</v>
      </c>
      <c r="I3" s="365"/>
      <c r="J3" s="365"/>
      <c r="K3" s="365"/>
      <c r="L3" s="365"/>
      <c r="M3" s="365"/>
      <c r="N3" s="365"/>
      <c r="AX3" s="39"/>
      <c r="AY3" s="62"/>
      <c r="AZ3" s="62"/>
      <c r="BA3" s="62"/>
      <c r="BB3" s="62"/>
      <c r="BC3" s="62"/>
      <c r="BD3" s="39"/>
    </row>
    <row r="4" spans="1:56" ht="15.75">
      <c r="A4" s="367" t="s">
        <v>1</v>
      </c>
      <c r="B4" s="367"/>
      <c r="C4" s="367"/>
      <c r="D4" s="25"/>
      <c r="E4" s="350" t="s">
        <v>471</v>
      </c>
      <c r="F4" s="346"/>
      <c r="G4" s="368"/>
      <c r="H4" s="369" t="s">
        <v>12</v>
      </c>
      <c r="I4" s="367"/>
      <c r="J4" s="341"/>
      <c r="K4" s="350" t="s">
        <v>473</v>
      </c>
      <c r="L4" s="346"/>
      <c r="M4" s="346"/>
      <c r="N4" s="346"/>
      <c r="R4" s="34" t="s">
        <v>195</v>
      </c>
      <c r="V4" s="80">
        <f>IF($J$11&gt;2000,(VLOOKUP($J$13,$R$34:$V$42,5,FALSE)),IF($J$11&lt;400,(VLOOKUP($J$13,$R$34:$V$42,3,FALSE)),(VLOOKUP($J$13,$R$34:$V$42,4))))</f>
        <v>1.3</v>
      </c>
      <c r="AX4" s="39"/>
      <c r="AY4" s="64"/>
      <c r="AZ4" s="64"/>
      <c r="BA4" s="62"/>
      <c r="BB4" s="62"/>
      <c r="BC4" s="62"/>
      <c r="BD4" s="39"/>
    </row>
    <row r="5" spans="1:56" ht="12.75">
      <c r="A5" s="344" t="s">
        <v>2</v>
      </c>
      <c r="B5" s="344"/>
      <c r="C5" s="344"/>
      <c r="D5" s="20"/>
      <c r="E5" s="366" t="s">
        <v>472</v>
      </c>
      <c r="F5" s="358"/>
      <c r="G5" s="359"/>
      <c r="H5" s="352" t="s">
        <v>13</v>
      </c>
      <c r="I5" s="353"/>
      <c r="J5" s="354"/>
      <c r="K5" s="360" t="s">
        <v>474</v>
      </c>
      <c r="L5" s="358"/>
      <c r="M5" s="358"/>
      <c r="N5" s="358"/>
      <c r="AX5" s="39"/>
      <c r="AY5" s="64"/>
      <c r="AZ5" s="64"/>
      <c r="BA5" s="62"/>
      <c r="BB5" s="62"/>
      <c r="BC5" s="62"/>
      <c r="BD5" s="39"/>
    </row>
    <row r="6" spans="1:56" ht="12.75" customHeight="1">
      <c r="A6" s="344" t="s">
        <v>3</v>
      </c>
      <c r="B6" s="344"/>
      <c r="C6" s="344"/>
      <c r="D6" s="20"/>
      <c r="E6" s="357">
        <v>42160</v>
      </c>
      <c r="F6" s="358"/>
      <c r="G6" s="359"/>
      <c r="H6" s="352" t="s">
        <v>14</v>
      </c>
      <c r="I6" s="353"/>
      <c r="J6" s="354"/>
      <c r="K6" s="360" t="s">
        <v>475</v>
      </c>
      <c r="L6" s="358"/>
      <c r="M6" s="358"/>
      <c r="N6" s="358"/>
      <c r="R6" s="34" t="s">
        <v>196</v>
      </c>
      <c r="V6" s="80">
        <f>IF($J$14="Paved",(HLOOKUP($J$13,'Segment Tables'!$P$9:$Z$13,2,FALSE)),(IF($J$14="Gravel",(HLOOKUP($J$13,'Segment Tables'!$P$9:$Z$13,3,FALSE)),(IF($J$14="Turf",(HLOOKUP($J$13,'Segment Tables'!$P$9:$Z$13,5,FALSE)),HLOOKUP($J$13,'Segment Tables'!$P$9:$Z$13,4,FALSE))))))</f>
        <v>1.01</v>
      </c>
      <c r="AX6" s="39"/>
      <c r="AY6" s="46"/>
      <c r="AZ6" s="33"/>
      <c r="BA6" s="38"/>
      <c r="BB6" s="38"/>
      <c r="BC6" s="38"/>
      <c r="BD6" s="39"/>
    </row>
    <row r="7" spans="1:56" ht="12.75">
      <c r="A7" s="351"/>
      <c r="B7" s="351"/>
      <c r="C7" s="351"/>
      <c r="D7" s="30"/>
      <c r="E7" s="352"/>
      <c r="F7" s="353"/>
      <c r="G7" s="354"/>
      <c r="H7" s="352" t="s">
        <v>15</v>
      </c>
      <c r="I7" s="353"/>
      <c r="J7" s="354"/>
      <c r="K7" s="355">
        <v>2015</v>
      </c>
      <c r="L7" s="356"/>
      <c r="M7" s="356"/>
      <c r="N7" s="356"/>
      <c r="AX7" s="39"/>
      <c r="AY7" s="33"/>
      <c r="AZ7" s="33"/>
      <c r="BA7" s="38"/>
      <c r="BB7" s="38"/>
      <c r="BC7" s="38"/>
      <c r="BD7" s="39"/>
    </row>
    <row r="8" spans="1:56" ht="12.75">
      <c r="A8" s="347" t="s">
        <v>4</v>
      </c>
      <c r="B8" s="334"/>
      <c r="C8" s="334"/>
      <c r="D8" s="334"/>
      <c r="E8" s="334"/>
      <c r="F8" s="334"/>
      <c r="G8" s="348"/>
      <c r="H8" s="349" t="s">
        <v>16</v>
      </c>
      <c r="I8" s="348"/>
      <c r="J8" s="349" t="s">
        <v>18</v>
      </c>
      <c r="K8" s="334"/>
      <c r="L8" s="334"/>
      <c r="M8" s="334"/>
      <c r="N8" s="334"/>
      <c r="AX8" s="39"/>
      <c r="AY8" s="46"/>
      <c r="AZ8" s="33"/>
      <c r="BA8" s="38"/>
      <c r="BB8" s="38"/>
      <c r="BC8" s="38"/>
      <c r="BD8" s="39"/>
    </row>
    <row r="9" spans="1:56" ht="12.75">
      <c r="A9" s="327" t="s">
        <v>119</v>
      </c>
      <c r="B9" s="328"/>
      <c r="C9" s="328"/>
      <c r="D9" s="328"/>
      <c r="E9" s="328"/>
      <c r="F9" s="328"/>
      <c r="G9" s="285"/>
      <c r="H9" s="340" t="s">
        <v>184</v>
      </c>
      <c r="I9" s="341"/>
      <c r="J9" s="373" t="s">
        <v>184</v>
      </c>
      <c r="K9" s="343"/>
      <c r="L9" s="343"/>
      <c r="M9" s="343"/>
      <c r="N9" s="343"/>
      <c r="AX9" s="39"/>
      <c r="AY9" s="33"/>
      <c r="AZ9" s="33"/>
      <c r="BA9" s="38"/>
      <c r="BB9" s="38"/>
      <c r="BC9" s="38"/>
      <c r="BD9" s="39"/>
    </row>
    <row r="10" spans="1:56" ht="13.5" thickBot="1">
      <c r="A10" s="328" t="s">
        <v>5</v>
      </c>
      <c r="B10" s="328"/>
      <c r="C10" s="328"/>
      <c r="D10" s="328"/>
      <c r="E10" s="328"/>
      <c r="F10" s="328"/>
      <c r="G10" s="285"/>
      <c r="H10" s="336" t="s">
        <v>17</v>
      </c>
      <c r="I10" s="285"/>
      <c r="J10" s="345">
        <v>0.1</v>
      </c>
      <c r="K10" s="346"/>
      <c r="L10" s="346"/>
      <c r="M10" s="346"/>
      <c r="N10" s="346"/>
      <c r="R10" s="151" t="s">
        <v>409</v>
      </c>
      <c r="AX10" s="39"/>
      <c r="AY10" s="46"/>
      <c r="AZ10" s="33"/>
      <c r="BA10" s="38"/>
      <c r="BB10" s="38"/>
      <c r="BC10" s="38"/>
      <c r="BD10" s="39"/>
    </row>
    <row r="11" spans="1:56" ht="16.5" thickBot="1">
      <c r="A11" s="328" t="s">
        <v>6</v>
      </c>
      <c r="B11" s="328"/>
      <c r="C11" s="328"/>
      <c r="D11" s="339"/>
      <c r="E11" s="186" t="s">
        <v>460</v>
      </c>
      <c r="F11" s="187">
        <v>33200</v>
      </c>
      <c r="G11" s="188" t="s">
        <v>461</v>
      </c>
      <c r="H11" s="336" t="s">
        <v>17</v>
      </c>
      <c r="I11" s="285"/>
      <c r="J11" s="337">
        <v>8000</v>
      </c>
      <c r="K11" s="338"/>
      <c r="L11" s="338"/>
      <c r="M11" s="338"/>
      <c r="N11" s="338"/>
      <c r="O11" s="189" t="str">
        <f>IF(J11&gt;F11,"AADT out of range","AADT OK")</f>
        <v>AADT OK</v>
      </c>
      <c r="AX11" s="39"/>
      <c r="AY11" s="33"/>
      <c r="AZ11" s="33"/>
      <c r="BA11" s="38"/>
      <c r="BB11" s="38"/>
      <c r="BC11" s="38"/>
      <c r="BD11" s="39"/>
    </row>
    <row r="12" spans="1:56" ht="13.5" thickBot="1">
      <c r="A12" s="328" t="s">
        <v>7</v>
      </c>
      <c r="B12" s="328"/>
      <c r="C12" s="328"/>
      <c r="D12" s="328"/>
      <c r="E12" s="328"/>
      <c r="F12" s="328"/>
      <c r="G12" s="285"/>
      <c r="H12" s="216">
        <v>12</v>
      </c>
      <c r="I12" s="285"/>
      <c r="J12" s="330">
        <v>11</v>
      </c>
      <c r="K12" s="331"/>
      <c r="L12" s="331"/>
      <c r="M12" s="331"/>
      <c r="N12" s="331"/>
      <c r="AX12" s="39"/>
      <c r="AY12" s="46"/>
      <c r="AZ12" s="33"/>
      <c r="BA12" s="38"/>
      <c r="BB12" s="38"/>
      <c r="BC12" s="38"/>
      <c r="BD12" s="39"/>
    </row>
    <row r="13" spans="1:56" ht="12.75">
      <c r="A13" s="327" t="s">
        <v>118</v>
      </c>
      <c r="B13" s="328"/>
      <c r="C13" s="328"/>
      <c r="D13" s="328"/>
      <c r="E13" s="328"/>
      <c r="F13" s="328"/>
      <c r="G13" s="285"/>
      <c r="H13" s="329">
        <v>6</v>
      </c>
      <c r="I13" s="285"/>
      <c r="J13" s="330">
        <v>2</v>
      </c>
      <c r="K13" s="331"/>
      <c r="L13" s="331"/>
      <c r="M13" s="331"/>
      <c r="N13" s="331"/>
      <c r="R13" s="201" t="s">
        <v>427</v>
      </c>
      <c r="S13" s="201"/>
      <c r="T13" s="201"/>
      <c r="U13" s="201"/>
      <c r="V13" s="201"/>
      <c r="AX13" s="39"/>
      <c r="AY13" s="114"/>
      <c r="AZ13" s="107"/>
      <c r="BA13" s="107"/>
      <c r="BB13" s="107"/>
      <c r="BC13" s="107"/>
      <c r="BD13" s="39"/>
    </row>
    <row r="14" spans="1:56" ht="13.5" thickBot="1">
      <c r="A14" s="327" t="s">
        <v>117</v>
      </c>
      <c r="B14" s="328"/>
      <c r="C14" s="328"/>
      <c r="D14" s="328"/>
      <c r="E14" s="328"/>
      <c r="F14" s="328"/>
      <c r="G14" s="285"/>
      <c r="H14" s="332" t="s">
        <v>67</v>
      </c>
      <c r="I14" s="285"/>
      <c r="J14" s="330" t="s">
        <v>68</v>
      </c>
      <c r="K14" s="331"/>
      <c r="L14" s="331"/>
      <c r="M14" s="331"/>
      <c r="N14" s="331"/>
      <c r="P14" s="39"/>
      <c r="R14" s="202"/>
      <c r="S14" s="202"/>
      <c r="T14" s="202"/>
      <c r="U14" s="202"/>
      <c r="V14" s="202"/>
      <c r="AX14" s="39"/>
      <c r="AY14" s="107"/>
      <c r="AZ14" s="107"/>
      <c r="BA14" s="107"/>
      <c r="BB14" s="107"/>
      <c r="BC14" s="107"/>
      <c r="BD14" s="39"/>
    </row>
    <row r="15" spans="1:56" ht="12.75">
      <c r="A15" s="327" t="s">
        <v>116</v>
      </c>
      <c r="B15" s="328"/>
      <c r="C15" s="328"/>
      <c r="D15" s="328"/>
      <c r="E15" s="328"/>
      <c r="F15" s="328"/>
      <c r="G15" s="285"/>
      <c r="H15" s="329">
        <v>30</v>
      </c>
      <c r="I15" s="285"/>
      <c r="J15" s="333" t="s">
        <v>207</v>
      </c>
      <c r="K15" s="334"/>
      <c r="L15" s="334"/>
      <c r="M15" s="334"/>
      <c r="N15" s="334"/>
      <c r="P15" s="39"/>
      <c r="R15" s="203" t="s">
        <v>53</v>
      </c>
      <c r="S15" s="204"/>
      <c r="T15" s="207" t="s">
        <v>6</v>
      </c>
      <c r="U15" s="207"/>
      <c r="V15" s="208"/>
      <c r="AX15" s="39"/>
      <c r="AY15" s="107"/>
      <c r="AZ15" s="107"/>
      <c r="BA15" s="107"/>
      <c r="BB15" s="107"/>
      <c r="BC15" s="107"/>
      <c r="BD15" s="39"/>
    </row>
    <row r="16" spans="1:22" ht="12.75">
      <c r="A16" s="327" t="s">
        <v>114</v>
      </c>
      <c r="B16" s="328"/>
      <c r="C16" s="328"/>
      <c r="D16" s="328"/>
      <c r="E16" s="328"/>
      <c r="F16" s="328"/>
      <c r="G16" s="285"/>
      <c r="H16" s="332" t="s">
        <v>115</v>
      </c>
      <c r="I16" s="285"/>
      <c r="J16" s="330" t="s">
        <v>200</v>
      </c>
      <c r="K16" s="331"/>
      <c r="L16" s="331"/>
      <c r="M16" s="331"/>
      <c r="N16" s="331"/>
      <c r="P16" s="39"/>
      <c r="R16" s="205"/>
      <c r="S16" s="206"/>
      <c r="T16" s="26" t="s">
        <v>59</v>
      </c>
      <c r="U16" s="26" t="s">
        <v>60</v>
      </c>
      <c r="V16" s="13" t="s">
        <v>61</v>
      </c>
    </row>
    <row r="17" spans="1:22" ht="12.75">
      <c r="A17" s="327" t="s">
        <v>113</v>
      </c>
      <c r="B17" s="328"/>
      <c r="C17" s="328"/>
      <c r="D17" s="328"/>
      <c r="E17" s="328"/>
      <c r="F17" s="328"/>
      <c r="G17" s="285"/>
      <c r="H17" s="329" t="s">
        <v>72</v>
      </c>
      <c r="I17" s="285"/>
      <c r="J17" s="330" t="s">
        <v>73</v>
      </c>
      <c r="K17" s="331"/>
      <c r="L17" s="331"/>
      <c r="M17" s="331"/>
      <c r="N17" s="331"/>
      <c r="P17" s="39"/>
      <c r="R17" s="196">
        <v>9</v>
      </c>
      <c r="S17" s="197"/>
      <c r="T17" s="14">
        <v>1.04</v>
      </c>
      <c r="U17" s="14">
        <f>1.04+0.000213*($J$11-400)</f>
        <v>2.6588000000000003</v>
      </c>
      <c r="V17" s="15">
        <v>1.38</v>
      </c>
    </row>
    <row r="18" spans="1:22" ht="12.75">
      <c r="A18" s="328" t="s">
        <v>9</v>
      </c>
      <c r="B18" s="328"/>
      <c r="C18" s="328"/>
      <c r="D18" s="328"/>
      <c r="E18" s="328"/>
      <c r="F18" s="328"/>
      <c r="G18" s="285"/>
      <c r="H18" s="329" t="s">
        <v>72</v>
      </c>
      <c r="I18" s="285"/>
      <c r="J18" s="330" t="s">
        <v>73</v>
      </c>
      <c r="K18" s="331"/>
      <c r="L18" s="331"/>
      <c r="M18" s="331"/>
      <c r="N18" s="331"/>
      <c r="P18" s="39"/>
      <c r="R18" s="197">
        <v>9.5</v>
      </c>
      <c r="S18" s="210"/>
      <c r="T18" s="14">
        <f>+(T17+T19)/2</f>
        <v>1.03</v>
      </c>
      <c r="U18" s="14">
        <f>+(U17+U19)/2</f>
        <v>2.3372</v>
      </c>
      <c r="V18" s="15">
        <f>+(V17+V19)/2</f>
        <v>1.305</v>
      </c>
    </row>
    <row r="19" spans="1:22" ht="13.5" thickBot="1">
      <c r="A19" s="321" t="s">
        <v>10</v>
      </c>
      <c r="B19" s="321"/>
      <c r="C19" s="321"/>
      <c r="D19" s="321"/>
      <c r="E19" s="321"/>
      <c r="F19" s="321"/>
      <c r="G19" s="322"/>
      <c r="H19" s="323">
        <v>1</v>
      </c>
      <c r="I19" s="324"/>
      <c r="J19" s="325" t="s">
        <v>17</v>
      </c>
      <c r="K19" s="326"/>
      <c r="L19" s="326"/>
      <c r="M19" s="326"/>
      <c r="N19" s="326"/>
      <c r="P19" s="39"/>
      <c r="R19" s="196">
        <v>10</v>
      </c>
      <c r="S19" s="197"/>
      <c r="T19" s="14">
        <v>1.02</v>
      </c>
      <c r="U19" s="14">
        <f>1.02+0.000131*($J$11-400)</f>
        <v>2.0156</v>
      </c>
      <c r="V19" s="15">
        <v>1.23</v>
      </c>
    </row>
    <row r="20" spans="10:22" ht="13.5" thickTop="1">
      <c r="J20" s="72"/>
      <c r="K20" s="73"/>
      <c r="L20" s="73"/>
      <c r="M20" s="73"/>
      <c r="N20" s="73"/>
      <c r="P20" s="39"/>
      <c r="R20" s="213">
        <v>10.5</v>
      </c>
      <c r="S20" s="213"/>
      <c r="T20" s="14">
        <f>+(T19+T21)/2</f>
        <v>1.0150000000000001</v>
      </c>
      <c r="U20" s="14">
        <f>+(U19+U21)/2</f>
        <v>1.58424</v>
      </c>
      <c r="V20" s="15">
        <f>+(V19+V21)/2</f>
        <v>1.135</v>
      </c>
    </row>
    <row r="21" spans="1:22" ht="13.5" thickBot="1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  <c r="P21" s="39"/>
      <c r="R21" s="196">
        <v>11</v>
      </c>
      <c r="S21" s="197"/>
      <c r="T21" s="14">
        <v>1.01</v>
      </c>
      <c r="U21" s="14">
        <f>1.01+0.0000188*($J$11-400)</f>
        <v>1.1528800000000001</v>
      </c>
      <c r="V21" s="15">
        <v>1.04</v>
      </c>
    </row>
    <row r="22" spans="1:22" ht="14.25" thickBot="1" thickTop="1">
      <c r="A22" s="229" t="s">
        <v>132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P22" s="39"/>
      <c r="R22" s="209">
        <v>11.5</v>
      </c>
      <c r="S22" s="209"/>
      <c r="T22" s="14">
        <f>+(T21+T23)/2</f>
        <v>1.005</v>
      </c>
      <c r="U22" s="14">
        <f>+(U21+U23)/2</f>
        <v>1.07644</v>
      </c>
      <c r="V22" s="15">
        <f>+(V21+V23)/2</f>
        <v>1.02</v>
      </c>
    </row>
    <row r="23" spans="1:22" ht="13.5" thickBot="1">
      <c r="A23" s="279" t="s">
        <v>19</v>
      </c>
      <c r="B23" s="303"/>
      <c r="C23" s="299" t="s">
        <v>20</v>
      </c>
      <c r="D23" s="299"/>
      <c r="E23" s="303"/>
      <c r="F23" s="299" t="s">
        <v>21</v>
      </c>
      <c r="G23" s="303"/>
      <c r="H23" s="299" t="s">
        <v>22</v>
      </c>
      <c r="I23" s="303"/>
      <c r="J23" s="299" t="s">
        <v>23</v>
      </c>
      <c r="K23" s="303"/>
      <c r="L23" s="303"/>
      <c r="M23" s="299" t="s">
        <v>24</v>
      </c>
      <c r="N23" s="300"/>
      <c r="P23" s="39"/>
      <c r="R23" s="211">
        <v>12</v>
      </c>
      <c r="S23" s="212"/>
      <c r="T23" s="16">
        <v>1</v>
      </c>
      <c r="U23" s="16">
        <v>1</v>
      </c>
      <c r="V23" s="17">
        <v>1</v>
      </c>
    </row>
    <row r="24" spans="1:22" ht="12.75">
      <c r="A24" s="313" t="s">
        <v>32</v>
      </c>
      <c r="B24" s="314"/>
      <c r="C24" s="317" t="s">
        <v>135</v>
      </c>
      <c r="D24" s="317"/>
      <c r="E24" s="314"/>
      <c r="F24" s="317" t="s">
        <v>138</v>
      </c>
      <c r="G24" s="314"/>
      <c r="H24" s="318" t="s">
        <v>33</v>
      </c>
      <c r="I24" s="314"/>
      <c r="J24" s="318" t="s">
        <v>34</v>
      </c>
      <c r="K24" s="314"/>
      <c r="L24" s="314"/>
      <c r="M24" s="317" t="s">
        <v>107</v>
      </c>
      <c r="N24" s="319"/>
      <c r="P24" s="39"/>
      <c r="R24" s="198" t="s">
        <v>385</v>
      </c>
      <c r="S24" s="199"/>
      <c r="T24" s="199"/>
      <c r="U24" s="199"/>
      <c r="V24" s="199"/>
    </row>
    <row r="25" spans="1:22" ht="12.75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20"/>
      <c r="P25" s="39"/>
      <c r="R25" s="200"/>
      <c r="S25" s="200"/>
      <c r="T25" s="200"/>
      <c r="U25" s="200"/>
      <c r="V25" s="200"/>
    </row>
    <row r="26" spans="1:16" ht="12.75">
      <c r="A26" s="312" t="s">
        <v>133</v>
      </c>
      <c r="B26" s="247"/>
      <c r="C26" s="309" t="s">
        <v>136</v>
      </c>
      <c r="D26" s="309"/>
      <c r="E26" s="247"/>
      <c r="F26" s="309" t="s">
        <v>139</v>
      </c>
      <c r="G26" s="247"/>
      <c r="H26" s="309" t="s">
        <v>140</v>
      </c>
      <c r="I26" s="247"/>
      <c r="J26" s="309" t="s">
        <v>143</v>
      </c>
      <c r="K26" s="247"/>
      <c r="L26" s="247"/>
      <c r="M26" s="309" t="s">
        <v>35</v>
      </c>
      <c r="N26" s="310"/>
      <c r="P26" s="39"/>
    </row>
    <row r="27" spans="1:16" ht="12.75">
      <c r="A27" s="307" t="s">
        <v>134</v>
      </c>
      <c r="B27" s="210"/>
      <c r="C27" s="308" t="s">
        <v>137</v>
      </c>
      <c r="D27" s="308"/>
      <c r="E27" s="210"/>
      <c r="F27" s="308" t="s">
        <v>431</v>
      </c>
      <c r="G27" s="247"/>
      <c r="H27" s="308" t="s">
        <v>141</v>
      </c>
      <c r="I27" s="210"/>
      <c r="J27" s="308" t="s">
        <v>142</v>
      </c>
      <c r="K27" s="247"/>
      <c r="L27" s="247"/>
      <c r="M27" s="311" t="s">
        <v>131</v>
      </c>
      <c r="N27" s="310"/>
      <c r="P27" s="39"/>
    </row>
    <row r="28" spans="1:16" ht="13.5" thickBot="1">
      <c r="A28" s="297">
        <f>((IF($J$11&gt;2000,(VLOOKUP($J$12,'Rural Undivided Multilane Seg'!$R$17:$V$23,5,FALSE)),IF($J$11&lt;400,(VLOOKUP($J$12,'Rural Undivided Multilane Seg'!$R$17:$V$23,3,FALSE)),(VLOOKUP($J$12,'Rural Undivided Multilane Seg'!$R$17:$V$23,4)))))-1)*(IF('Segment Tables'!D7="No",'Segment Tables'!E15,'Segment Tables'!I15))+1</f>
        <v>1.0191529411764706</v>
      </c>
      <c r="B28" s="305"/>
      <c r="C28" s="295">
        <f>(+$V$4*$V$6-1)*(IF('Segment Tables'!D7="NO",'Segment Tables'!E15,'Segment Tables'!I15))+1</f>
        <v>1.1498717647058825</v>
      </c>
      <c r="D28" s="306"/>
      <c r="E28" s="305"/>
      <c r="F28" s="295">
        <f>HLOOKUP(J16,'Segment Tables'!O22:T23,2,FALSE)</f>
        <v>1.05</v>
      </c>
      <c r="G28" s="296"/>
      <c r="H28" s="295">
        <f>IF($J$17="Present",(1-(IF('Segment Tables'!$D$41="No",((1-(0.72*'Segment Tables'!$E$45)-(0.83*'Segment Tables'!$F$45))*'Segment Tables'!$G$45),((1-(0.72*'Segment Tables'!$I$45)-(0.83*'Segment Tables'!$J$45))*'Segment Tables'!$K$45)))),1)</f>
        <v>0.9329621499999999</v>
      </c>
      <c r="I28" s="296"/>
      <c r="J28" s="295">
        <f>IF($J$18="Present",0.95,1)</f>
        <v>0.95</v>
      </c>
      <c r="K28" s="297"/>
      <c r="L28" s="296"/>
      <c r="M28" s="295">
        <f>$A$28*$C$28*$F$28*$H$28*$J$28</f>
        <v>1.0906005223050546</v>
      </c>
      <c r="N28" s="298"/>
      <c r="P28" s="39"/>
    </row>
    <row r="29" ht="13.5" thickBot="1">
      <c r="P29" s="39"/>
    </row>
    <row r="30" spans="6:22" ht="12.75">
      <c r="F30" s="38"/>
      <c r="G30" s="38"/>
      <c r="P30" s="39"/>
      <c r="R30" s="201" t="s">
        <v>428</v>
      </c>
      <c r="S30" s="201"/>
      <c r="T30" s="201"/>
      <c r="U30" s="201"/>
      <c r="V30" s="201"/>
    </row>
    <row r="31" spans="15:22" ht="13.5" thickBot="1">
      <c r="O31" s="39"/>
      <c r="P31" s="39"/>
      <c r="R31" s="202"/>
      <c r="S31" s="202"/>
      <c r="T31" s="202"/>
      <c r="U31" s="202"/>
      <c r="V31" s="202"/>
    </row>
    <row r="32" spans="1:22" ht="14.25" thickBot="1" thickTop="1">
      <c r="A32" s="229" t="s">
        <v>156</v>
      </c>
      <c r="B32" s="274"/>
      <c r="C32" s="274"/>
      <c r="D32" s="274"/>
      <c r="E32" s="274"/>
      <c r="F32" s="274"/>
      <c r="G32" s="274"/>
      <c r="H32" s="274"/>
      <c r="I32" s="274"/>
      <c r="J32" s="302"/>
      <c r="K32" s="302"/>
      <c r="L32" s="302"/>
      <c r="M32" s="302"/>
      <c r="N32" s="302"/>
      <c r="O32" s="39"/>
      <c r="P32" s="39"/>
      <c r="R32" s="203" t="s">
        <v>54</v>
      </c>
      <c r="S32" s="204"/>
      <c r="T32" s="207" t="s">
        <v>6</v>
      </c>
      <c r="U32" s="207"/>
      <c r="V32" s="208"/>
    </row>
    <row r="33" spans="1:22" ht="12.75">
      <c r="A33" s="279" t="s">
        <v>19</v>
      </c>
      <c r="B33" s="303"/>
      <c r="C33" s="304" t="s">
        <v>20</v>
      </c>
      <c r="D33" s="304"/>
      <c r="E33" s="303"/>
      <c r="F33" s="299" t="s">
        <v>21</v>
      </c>
      <c r="G33" s="303"/>
      <c r="H33" s="299" t="s">
        <v>22</v>
      </c>
      <c r="I33" s="303"/>
      <c r="J33" s="299" t="s">
        <v>23</v>
      </c>
      <c r="K33" s="303"/>
      <c r="L33" s="2" t="s">
        <v>24</v>
      </c>
      <c r="M33" s="299" t="s">
        <v>25</v>
      </c>
      <c r="N33" s="300"/>
      <c r="O33" s="39"/>
      <c r="P33" s="39"/>
      <c r="R33" s="205"/>
      <c r="S33" s="206"/>
      <c r="T33" s="26" t="s">
        <v>59</v>
      </c>
      <c r="U33" s="26" t="s">
        <v>60</v>
      </c>
      <c r="V33" s="13" t="s">
        <v>61</v>
      </c>
    </row>
    <row r="34" spans="1:22" ht="12.75">
      <c r="A34" s="260" t="s">
        <v>36</v>
      </c>
      <c r="B34" s="247"/>
      <c r="C34" s="301" t="s">
        <v>145</v>
      </c>
      <c r="D34" s="242"/>
      <c r="E34" s="242"/>
      <c r="F34" s="256" t="s">
        <v>422</v>
      </c>
      <c r="G34" s="210"/>
      <c r="H34" s="256" t="s">
        <v>37</v>
      </c>
      <c r="I34" s="289"/>
      <c r="J34" s="256" t="s">
        <v>38</v>
      </c>
      <c r="K34" s="292"/>
      <c r="L34" s="256" t="s">
        <v>10</v>
      </c>
      <c r="M34" s="256" t="s">
        <v>400</v>
      </c>
      <c r="N34" s="288"/>
      <c r="O34" s="39"/>
      <c r="P34" s="39"/>
      <c r="R34" s="196">
        <v>0</v>
      </c>
      <c r="S34" s="197"/>
      <c r="T34" s="14">
        <v>1.1</v>
      </c>
      <c r="U34" s="14">
        <f>+($J$11-400)*0.00025+1.1</f>
        <v>3</v>
      </c>
      <c r="V34" s="15">
        <v>1.5</v>
      </c>
    </row>
    <row r="35" spans="1:43" ht="12.75">
      <c r="A35" s="285"/>
      <c r="B35" s="247"/>
      <c r="C35" s="290" t="s">
        <v>440</v>
      </c>
      <c r="D35" s="210"/>
      <c r="E35" s="210"/>
      <c r="F35" s="247"/>
      <c r="G35" s="247"/>
      <c r="H35" s="289"/>
      <c r="I35" s="289"/>
      <c r="J35" s="291" t="s">
        <v>159</v>
      </c>
      <c r="K35" s="292"/>
      <c r="L35" s="210"/>
      <c r="M35" s="289"/>
      <c r="N35" s="288"/>
      <c r="O35" s="39"/>
      <c r="P35" s="39"/>
      <c r="R35" s="197">
        <v>1</v>
      </c>
      <c r="S35" s="210"/>
      <c r="T35" s="14">
        <f>+(T34+T36)/2</f>
        <v>1.085</v>
      </c>
      <c r="U35" s="14">
        <f>+(U34+U36)/2</f>
        <v>2.5784000000000002</v>
      </c>
      <c r="V35" s="15">
        <f>+(V34+V36)/2</f>
        <v>1.4</v>
      </c>
      <c r="AJ35" s="39"/>
      <c r="AK35" s="39"/>
      <c r="AL35" s="39"/>
      <c r="AM35" s="39"/>
      <c r="AN35" s="39"/>
      <c r="AO35" s="39"/>
      <c r="AP35" s="39"/>
      <c r="AQ35" s="39"/>
    </row>
    <row r="36" spans="1:43" ht="12.75">
      <c r="A36" s="285"/>
      <c r="B36" s="247"/>
      <c r="C36" s="78" t="s">
        <v>146</v>
      </c>
      <c r="D36" s="78" t="s">
        <v>147</v>
      </c>
      <c r="E36" s="78" t="s">
        <v>148</v>
      </c>
      <c r="F36" s="293" t="s">
        <v>157</v>
      </c>
      <c r="G36" s="294"/>
      <c r="H36" s="293" t="s">
        <v>158</v>
      </c>
      <c r="I36" s="294"/>
      <c r="J36" s="292"/>
      <c r="K36" s="292"/>
      <c r="L36" s="210"/>
      <c r="M36" s="233" t="s">
        <v>152</v>
      </c>
      <c r="N36" s="216"/>
      <c r="O36" s="39"/>
      <c r="P36" s="39"/>
      <c r="Q36" s="92"/>
      <c r="R36" s="372">
        <v>2</v>
      </c>
      <c r="S36" s="210"/>
      <c r="T36" s="14">
        <v>1.07</v>
      </c>
      <c r="U36" s="14">
        <f>+($J$11-400)*0.000143+1.07</f>
        <v>2.1568</v>
      </c>
      <c r="V36" s="15">
        <v>1.3</v>
      </c>
      <c r="W36" s="12"/>
      <c r="X36" s="12"/>
      <c r="Y36" s="12"/>
      <c r="Z36" s="12"/>
      <c r="AA36" s="12"/>
      <c r="AB36" s="39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39"/>
    </row>
    <row r="37" spans="1:43" ht="12.75">
      <c r="A37" s="285" t="s">
        <v>39</v>
      </c>
      <c r="B37" s="247"/>
      <c r="C37" s="79">
        <v>-9.653</v>
      </c>
      <c r="D37" s="79">
        <v>1.176</v>
      </c>
      <c r="E37" s="79">
        <v>1.675</v>
      </c>
      <c r="F37" s="248">
        <f>EXP($C$37+$D$37*LN($J$11)+LN($J$10))</f>
        <v>0.24991319737896014</v>
      </c>
      <c r="G37" s="249"/>
      <c r="H37" s="248">
        <f>1/(EXP($E$37+LN($J$10)))</f>
        <v>1.8730817948195697</v>
      </c>
      <c r="I37" s="249"/>
      <c r="J37" s="286">
        <f>+$M$28</f>
        <v>1.0906005223050546</v>
      </c>
      <c r="K37" s="257"/>
      <c r="L37" s="194">
        <v>1.0610563844703744</v>
      </c>
      <c r="M37" s="248">
        <f>+F37*J37*L37</f>
        <v>0.28919671476702</v>
      </c>
      <c r="N37" s="250"/>
      <c r="O37" s="39"/>
      <c r="P37" s="39"/>
      <c r="Q37" s="39"/>
      <c r="R37" s="197">
        <v>3</v>
      </c>
      <c r="S37" s="210"/>
      <c r="T37" s="14">
        <f>+(T36+T38)/2</f>
        <v>1.045</v>
      </c>
      <c r="U37" s="14">
        <f>+(U36+U38)/2</f>
        <v>1.89715</v>
      </c>
      <c r="V37" s="15">
        <f>+(V36+V38)/2</f>
        <v>1.225</v>
      </c>
      <c r="W37" s="39"/>
      <c r="X37" s="39"/>
      <c r="Y37" s="39"/>
      <c r="Z37" s="39"/>
      <c r="AA37" s="39"/>
      <c r="AB37" s="39"/>
      <c r="AD37" s="51"/>
      <c r="AE37" s="62"/>
      <c r="AF37" s="33"/>
      <c r="AG37" s="33"/>
      <c r="AH37" s="33"/>
      <c r="AI37" s="33"/>
      <c r="AJ37" s="33"/>
      <c r="AK37" s="62"/>
      <c r="AL37" s="33"/>
      <c r="AM37" s="33"/>
      <c r="AN37" s="33"/>
      <c r="AO37" s="33"/>
      <c r="AP37" s="33"/>
      <c r="AQ37" s="39"/>
    </row>
    <row r="38" spans="1:43" ht="12.75">
      <c r="A38" s="285" t="s">
        <v>40</v>
      </c>
      <c r="B38" s="247"/>
      <c r="C38" s="79">
        <v>-9.41</v>
      </c>
      <c r="D38" s="79">
        <v>1.094</v>
      </c>
      <c r="E38" s="79">
        <v>1.796</v>
      </c>
      <c r="F38" s="248">
        <f>EXP($C$38+$D$38*LN($J$11)+LN($J$10))</f>
        <v>0.15249983404117612</v>
      </c>
      <c r="G38" s="249"/>
      <c r="H38" s="248">
        <f>1/(EXP($E$38+LN($J$10)))</f>
        <v>1.6596140793053136</v>
      </c>
      <c r="I38" s="249"/>
      <c r="J38" s="286">
        <f>+$M$28</f>
        <v>1.0906005223050546</v>
      </c>
      <c r="K38" s="257"/>
      <c r="L38" s="194">
        <v>0.5926094236139294</v>
      </c>
      <c r="M38" s="248">
        <f>+F38*J38*L38</f>
        <v>0.09856066514551567</v>
      </c>
      <c r="N38" s="250"/>
      <c r="O38" s="39"/>
      <c r="P38" s="39"/>
      <c r="Q38" s="39"/>
      <c r="R38" s="372">
        <v>4</v>
      </c>
      <c r="S38" s="210"/>
      <c r="T38" s="14">
        <v>1.02</v>
      </c>
      <c r="U38" s="14">
        <f>+($J$11-400)*0.00008125+1.02</f>
        <v>1.6375</v>
      </c>
      <c r="V38" s="15">
        <v>1.15</v>
      </c>
      <c r="W38" s="39"/>
      <c r="X38" s="39"/>
      <c r="Y38" s="39"/>
      <c r="Z38" s="39"/>
      <c r="AA38" s="39"/>
      <c r="AB38" s="39"/>
      <c r="AD38" s="39"/>
      <c r="AE38" s="62"/>
      <c r="AF38" s="62"/>
      <c r="AG38" s="62"/>
      <c r="AH38" s="62"/>
      <c r="AI38" s="62"/>
      <c r="AJ38" s="39"/>
      <c r="AK38" s="62"/>
      <c r="AL38" s="62"/>
      <c r="AM38" s="62"/>
      <c r="AN38" s="62"/>
      <c r="AO38" s="62"/>
      <c r="AP38" s="39"/>
      <c r="AQ38" s="39"/>
    </row>
    <row r="39" spans="1:43" ht="14.25">
      <c r="A39" s="287" t="s">
        <v>153</v>
      </c>
      <c r="B39" s="247"/>
      <c r="C39" s="79">
        <v>-8.577</v>
      </c>
      <c r="D39" s="79">
        <v>0.938</v>
      </c>
      <c r="E39" s="79">
        <v>2.003</v>
      </c>
      <c r="F39" s="248">
        <f>EXP($C$39+$D$39*LN($J$11)+LN($J$10))</f>
        <v>0.08632858778410982</v>
      </c>
      <c r="G39" s="249"/>
      <c r="H39" s="248">
        <f>1/(EXP($E$39+LN($J$10)))</f>
        <v>1.3492988578712508</v>
      </c>
      <c r="I39" s="249"/>
      <c r="J39" s="286">
        <f>+$M$28</f>
        <v>1.0906005223050546</v>
      </c>
      <c r="K39" s="257"/>
      <c r="L39" s="194">
        <v>0.3580757755662442</v>
      </c>
      <c r="M39" s="248">
        <f>+F39*J39*L39</f>
        <v>0.033712835317724135</v>
      </c>
      <c r="N39" s="250"/>
      <c r="O39" s="39"/>
      <c r="R39" s="197">
        <v>5</v>
      </c>
      <c r="S39" s="210"/>
      <c r="T39" s="14">
        <f>+(T38+T40)/2</f>
        <v>1.01</v>
      </c>
      <c r="U39" s="14">
        <f>+(U38+U40)/2</f>
        <v>1.31875</v>
      </c>
      <c r="V39" s="15">
        <f>+(V38+V40)/2</f>
        <v>1.075</v>
      </c>
      <c r="AD39" s="39"/>
      <c r="AE39" s="62"/>
      <c r="AF39" s="62"/>
      <c r="AG39" s="62"/>
      <c r="AH39" s="62"/>
      <c r="AI39" s="62"/>
      <c r="AJ39" s="39"/>
      <c r="AK39" s="62"/>
      <c r="AL39" s="62"/>
      <c r="AM39" s="62"/>
      <c r="AN39" s="62"/>
      <c r="AO39" s="62"/>
      <c r="AP39" s="39"/>
      <c r="AQ39" s="39"/>
    </row>
    <row r="40" spans="1:43" ht="15.75">
      <c r="A40" s="270" t="s">
        <v>41</v>
      </c>
      <c r="B40" s="271"/>
      <c r="C40" s="268" t="s">
        <v>17</v>
      </c>
      <c r="D40" s="268" t="s">
        <v>17</v>
      </c>
      <c r="E40" s="268" t="s">
        <v>17</v>
      </c>
      <c r="F40" s="264" t="s">
        <v>17</v>
      </c>
      <c r="G40" s="265"/>
      <c r="H40" s="264" t="s">
        <v>17</v>
      </c>
      <c r="I40" s="265"/>
      <c r="J40" s="264" t="s">
        <v>17</v>
      </c>
      <c r="K40" s="265"/>
      <c r="L40" s="268" t="s">
        <v>17</v>
      </c>
      <c r="M40" s="233" t="s">
        <v>154</v>
      </c>
      <c r="N40" s="216"/>
      <c r="O40" s="39"/>
      <c r="R40" s="372">
        <v>6</v>
      </c>
      <c r="S40" s="210"/>
      <c r="T40" s="14">
        <v>1</v>
      </c>
      <c r="U40" s="14">
        <v>1</v>
      </c>
      <c r="V40" s="15">
        <v>1</v>
      </c>
      <c r="AD40" s="39"/>
      <c r="AE40" s="62"/>
      <c r="AF40" s="62"/>
      <c r="AG40" s="62"/>
      <c r="AH40" s="62"/>
      <c r="AI40" s="64"/>
      <c r="AJ40" s="39"/>
      <c r="AK40" s="62"/>
      <c r="AL40" s="62"/>
      <c r="AM40" s="62"/>
      <c r="AN40" s="62"/>
      <c r="AO40" s="64"/>
      <c r="AP40" s="39"/>
      <c r="AQ40" s="39"/>
    </row>
    <row r="41" spans="1:43" ht="13.5" thickBot="1">
      <c r="A41" s="272"/>
      <c r="B41" s="273"/>
      <c r="C41" s="269"/>
      <c r="D41" s="269"/>
      <c r="E41" s="269"/>
      <c r="F41" s="266"/>
      <c r="G41" s="267"/>
      <c r="H41" s="266"/>
      <c r="I41" s="267"/>
      <c r="J41" s="266"/>
      <c r="K41" s="267"/>
      <c r="L41" s="269"/>
      <c r="M41" s="262">
        <f>+M37-M38</f>
        <v>0.19063604962150435</v>
      </c>
      <c r="N41" s="263"/>
      <c r="O41" s="39"/>
      <c r="P41" s="38"/>
      <c r="R41" s="197">
        <v>7</v>
      </c>
      <c r="S41" s="210"/>
      <c r="T41" s="14">
        <f>+(T40+T42)/2</f>
        <v>0.99</v>
      </c>
      <c r="U41" s="14">
        <f>+(U40+U42)/2</f>
        <v>0.72875</v>
      </c>
      <c r="V41" s="15">
        <f>+(V40+V42)/2</f>
        <v>0.935</v>
      </c>
      <c r="AD41" s="46"/>
      <c r="AE41" s="33"/>
      <c r="AF41" s="33"/>
      <c r="AG41" s="33"/>
      <c r="AH41" s="46"/>
      <c r="AI41" s="40"/>
      <c r="AJ41" s="39"/>
      <c r="AK41" s="33"/>
      <c r="AL41" s="33"/>
      <c r="AM41" s="33"/>
      <c r="AN41" s="46"/>
      <c r="AO41" s="40"/>
      <c r="AP41" s="39"/>
      <c r="AQ41" s="39"/>
    </row>
    <row r="42" spans="1:43" ht="13.5" thickBot="1">
      <c r="A42" s="227" t="s">
        <v>155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11"/>
      <c r="R42" s="211">
        <v>8</v>
      </c>
      <c r="S42" s="212"/>
      <c r="T42" s="16">
        <v>0.98</v>
      </c>
      <c r="U42" s="18">
        <f>+(($J$11-400)*-0.00006875)+0.98</f>
        <v>0.4574999999999999</v>
      </c>
      <c r="V42" s="17">
        <v>0.87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15:22" ht="12.75">
      <c r="O43" s="11"/>
      <c r="R43" s="370" t="s">
        <v>81</v>
      </c>
      <c r="S43" s="200"/>
      <c r="T43" s="200"/>
      <c r="U43" s="200"/>
      <c r="V43" s="200"/>
    </row>
    <row r="44" spans="15:22" ht="12.75">
      <c r="O44" s="11"/>
      <c r="R44" s="200"/>
      <c r="S44" s="200"/>
      <c r="T44" s="200"/>
      <c r="U44" s="200"/>
      <c r="V44" s="200"/>
    </row>
    <row r="45" spans="1:22" ht="13.5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  <c r="R45" s="200"/>
      <c r="S45" s="200"/>
      <c r="T45" s="200"/>
      <c r="U45" s="200"/>
      <c r="V45" s="200"/>
    </row>
    <row r="46" spans="1:22" ht="14.25" thickBot="1" thickTop="1">
      <c r="A46" s="229" t="s">
        <v>174</v>
      </c>
      <c r="B46" s="274"/>
      <c r="C46" s="274"/>
      <c r="D46" s="274"/>
      <c r="E46" s="274"/>
      <c r="F46" s="274"/>
      <c r="G46" s="274"/>
      <c r="H46" s="274"/>
      <c r="I46" s="275"/>
      <c r="J46" s="275"/>
      <c r="K46" s="275"/>
      <c r="L46" s="275"/>
      <c r="M46" s="275"/>
      <c r="N46" s="275"/>
      <c r="O46" s="39"/>
      <c r="R46" s="371"/>
      <c r="S46" s="371"/>
      <c r="T46" s="371"/>
      <c r="U46" s="371"/>
      <c r="V46" s="371"/>
    </row>
    <row r="47" spans="1:15" ht="12.75">
      <c r="A47" s="276" t="s">
        <v>19</v>
      </c>
      <c r="B47" s="277"/>
      <c r="C47" s="6" t="s">
        <v>20</v>
      </c>
      <c r="D47" s="278" t="s">
        <v>21</v>
      </c>
      <c r="E47" s="279"/>
      <c r="F47" s="82" t="s">
        <v>22</v>
      </c>
      <c r="G47" s="280" t="s">
        <v>23</v>
      </c>
      <c r="H47" s="281"/>
      <c r="I47" s="82" t="s">
        <v>24</v>
      </c>
      <c r="J47" s="280" t="s">
        <v>25</v>
      </c>
      <c r="K47" s="282"/>
      <c r="L47" s="82" t="s">
        <v>26</v>
      </c>
      <c r="M47" s="283" t="s">
        <v>27</v>
      </c>
      <c r="N47" s="284"/>
      <c r="O47" s="39"/>
    </row>
    <row r="48" spans="1:15" ht="12.75">
      <c r="A48" s="260" t="s">
        <v>42</v>
      </c>
      <c r="B48" s="256"/>
      <c r="C48" s="256" t="s">
        <v>44</v>
      </c>
      <c r="D48" s="256" t="s">
        <v>405</v>
      </c>
      <c r="E48" s="247"/>
      <c r="F48" s="256" t="s">
        <v>43</v>
      </c>
      <c r="G48" s="256" t="s">
        <v>406</v>
      </c>
      <c r="H48" s="256"/>
      <c r="I48" s="256" t="s">
        <v>161</v>
      </c>
      <c r="J48" s="256" t="s">
        <v>407</v>
      </c>
      <c r="K48" s="256"/>
      <c r="L48" s="256" t="s">
        <v>162</v>
      </c>
      <c r="M48" s="256" t="s">
        <v>408</v>
      </c>
      <c r="N48" s="261"/>
      <c r="O48" s="39"/>
    </row>
    <row r="49" spans="1:15" ht="12.75">
      <c r="A49" s="260"/>
      <c r="B49" s="256"/>
      <c r="C49" s="210"/>
      <c r="D49" s="247"/>
      <c r="E49" s="247"/>
      <c r="F49" s="210"/>
      <c r="G49" s="210"/>
      <c r="H49" s="210"/>
      <c r="I49" s="210"/>
      <c r="J49" s="210"/>
      <c r="K49" s="210"/>
      <c r="L49" s="210"/>
      <c r="M49" s="210"/>
      <c r="N49" s="216"/>
      <c r="O49" s="39"/>
    </row>
    <row r="50" spans="1:15" ht="12.75">
      <c r="A50" s="197"/>
      <c r="B50" s="210"/>
      <c r="C50" s="210"/>
      <c r="D50" s="247"/>
      <c r="E50" s="247"/>
      <c r="F50" s="210"/>
      <c r="G50" s="210"/>
      <c r="H50" s="210"/>
      <c r="I50" s="210"/>
      <c r="J50" s="210"/>
      <c r="K50" s="210"/>
      <c r="L50" s="210"/>
      <c r="M50" s="210"/>
      <c r="N50" s="216"/>
      <c r="O50" s="39"/>
    </row>
    <row r="51" spans="1:15" ht="15" customHeight="1">
      <c r="A51" s="197"/>
      <c r="B51" s="210"/>
      <c r="C51" s="255" t="s">
        <v>443</v>
      </c>
      <c r="D51" s="214" t="s">
        <v>175</v>
      </c>
      <c r="E51" s="254"/>
      <c r="F51" s="255" t="s">
        <v>444</v>
      </c>
      <c r="G51" s="214" t="s">
        <v>176</v>
      </c>
      <c r="H51" s="254"/>
      <c r="I51" s="255" t="s">
        <v>443</v>
      </c>
      <c r="J51" s="214" t="s">
        <v>177</v>
      </c>
      <c r="K51" s="254"/>
      <c r="L51" s="255" t="s">
        <v>443</v>
      </c>
      <c r="M51" s="214" t="s">
        <v>178</v>
      </c>
      <c r="N51" s="215"/>
      <c r="O51" s="39"/>
    </row>
    <row r="52" spans="1:15" ht="15.75" customHeight="1">
      <c r="A52" s="197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6"/>
      <c r="O52" s="39"/>
    </row>
    <row r="53" spans="1:15" ht="12.75">
      <c r="A53" s="253" t="s">
        <v>39</v>
      </c>
      <c r="B53" s="240"/>
      <c r="C53" s="79">
        <f>IF('Segment Tables'!$D$7="No",SUM('Segment Tables'!$E$9:$E$14),SUM('Segment Tables'!$I$9:$I$14))</f>
        <v>1</v>
      </c>
      <c r="D53" s="248">
        <f>+M37</f>
        <v>0.28919671476702</v>
      </c>
      <c r="E53" s="249"/>
      <c r="F53" s="79">
        <f>IF('Segment Tables'!$D$7="No",SUM('Segment Tables'!$F$9:$F$14),SUM('Segment Tables'!$J$9:$J$14))</f>
        <v>1</v>
      </c>
      <c r="G53" s="248">
        <f>+M38</f>
        <v>0.09856066514551567</v>
      </c>
      <c r="H53" s="249"/>
      <c r="I53" s="79">
        <f>IF('Segment Tables'!$D$7="No",SUM('Segment Tables'!$G$9:$G$14),SUM('Segment Tables'!$K$9:$K$14))</f>
        <v>1</v>
      </c>
      <c r="J53" s="248">
        <f>+M39</f>
        <v>0.033712835317724135</v>
      </c>
      <c r="K53" s="249"/>
      <c r="L53" s="79">
        <f>IF('Segment Tables'!D$7="No",SUM('Segment Tables'!$H$9:$H$14),SUM('Segment Tables'!$L$9:$L$14))</f>
        <v>1</v>
      </c>
      <c r="M53" s="248">
        <f>+M41</f>
        <v>0.19063604962150435</v>
      </c>
      <c r="N53" s="250"/>
      <c r="O53" s="39"/>
    </row>
    <row r="54" spans="1:15" ht="15.75">
      <c r="A54" s="257"/>
      <c r="B54" s="258"/>
      <c r="C54" s="80"/>
      <c r="D54" s="233" t="s">
        <v>168</v>
      </c>
      <c r="E54" s="258"/>
      <c r="F54" s="80"/>
      <c r="G54" s="259" t="s">
        <v>169</v>
      </c>
      <c r="H54" s="247"/>
      <c r="I54" s="80"/>
      <c r="J54" s="233" t="s">
        <v>170</v>
      </c>
      <c r="K54" s="210"/>
      <c r="L54" s="80"/>
      <c r="M54" s="233" t="s">
        <v>171</v>
      </c>
      <c r="N54" s="216"/>
      <c r="O54" s="39"/>
    </row>
    <row r="55" spans="1:15" ht="12.75">
      <c r="A55" s="246" t="s">
        <v>46</v>
      </c>
      <c r="B55" s="247"/>
      <c r="C55" s="79">
        <f>IF('Segment Tables'!$D$7="No",'Segment Tables'!E9,'Segment Tables'!I9)</f>
        <v>0.024705882352941175</v>
      </c>
      <c r="D55" s="248">
        <f aca="true" t="shared" si="0" ref="D55:D60">+C55*$D$53</f>
        <v>0.007144860011891082</v>
      </c>
      <c r="E55" s="249"/>
      <c r="F55" s="79">
        <f>IF('Segment Tables'!$D$7="No",'Segment Tables'!F9,'Segment Tables'!J9)</f>
        <v>0.03257328990228013</v>
      </c>
      <c r="G55" s="248">
        <f aca="true" t="shared" si="1" ref="G55:G60">+F55*$G$53</f>
        <v>0.003210445118746439</v>
      </c>
      <c r="H55" s="249"/>
      <c r="I55" s="79">
        <f>IF('Segment Tables'!$D$7="No",'Segment Tables'!G9,'Segment Tables'!K9)</f>
        <v>0.06382978723404255</v>
      </c>
      <c r="J55" s="248">
        <f aca="true" t="shared" si="2" ref="J55:J60">+$J$53*I55</f>
        <v>0.0021518831053866467</v>
      </c>
      <c r="K55" s="249"/>
      <c r="L55" s="79">
        <f>IF('Segment Tables'!$D$7="No",'Segment Tables'!H9,'Segment Tables'!L9)</f>
        <v>0.020257826887661142</v>
      </c>
      <c r="M55" s="248">
        <f aca="true" t="shared" si="3" ref="M55:M60">+$M$53*L55</f>
        <v>0.0038618720917800147</v>
      </c>
      <c r="N55" s="250"/>
      <c r="O55" s="39"/>
    </row>
    <row r="56" spans="1:15" ht="12.75">
      <c r="A56" s="246" t="s">
        <v>48</v>
      </c>
      <c r="B56" s="247"/>
      <c r="C56" s="79">
        <f>IF('Segment Tables'!$D$7="No",'Segment Tables'!E10,'Segment Tables'!I10)</f>
        <v>0.12941176470588237</v>
      </c>
      <c r="D56" s="248">
        <f t="shared" si="0"/>
        <v>0.03742545720514377</v>
      </c>
      <c r="E56" s="249"/>
      <c r="F56" s="79">
        <f>IF('Segment Tables'!$D$7="No",'Segment Tables'!F10,'Segment Tables'!J10)</f>
        <v>0.06840390879478828</v>
      </c>
      <c r="G56" s="248">
        <f t="shared" si="1"/>
        <v>0.006741934749367522</v>
      </c>
      <c r="H56" s="249"/>
      <c r="I56" s="79">
        <f>IF('Segment Tables'!$D$7="No",'Segment Tables'!G10,'Segment Tables'!K10)</f>
        <v>0.02127659574468085</v>
      </c>
      <c r="J56" s="248">
        <f t="shared" si="2"/>
        <v>0.0007172943684622156</v>
      </c>
      <c r="K56" s="249"/>
      <c r="L56" s="79">
        <f>IF('Segment Tables'!$D$7="No",'Segment Tables'!H10,'Segment Tables'!L10)</f>
        <v>0.16390423572744015</v>
      </c>
      <c r="M56" s="248">
        <f t="shared" si="3"/>
        <v>0.031246056015311025</v>
      </c>
      <c r="N56" s="250"/>
      <c r="O56" s="19"/>
    </row>
    <row r="57" spans="1:15" ht="12.75">
      <c r="A57" s="226" t="s">
        <v>47</v>
      </c>
      <c r="B57" s="247"/>
      <c r="C57" s="79">
        <f>IF('Segment Tables'!$D$7="No",'Segment Tables'!E11,'Segment Tables'!I11)</f>
        <v>0.26235294117647057</v>
      </c>
      <c r="D57" s="248">
        <f t="shared" si="0"/>
        <v>0.07587160869770054</v>
      </c>
      <c r="E57" s="249"/>
      <c r="F57" s="79">
        <f>IF('Segment Tables'!$D$7="No",'Segment Tables'!F11,'Segment Tables'!J11)</f>
        <v>0.3289902280130293</v>
      </c>
      <c r="G57" s="248">
        <f t="shared" si="1"/>
        <v>0.03242549569933903</v>
      </c>
      <c r="H57" s="249"/>
      <c r="I57" s="79">
        <f>IF('Segment Tables'!$D$7="No",'Segment Tables'!G11,'Segment Tables'!K11)</f>
        <v>0.2765957446808511</v>
      </c>
      <c r="J57" s="248">
        <f t="shared" si="2"/>
        <v>0.009324826790008805</v>
      </c>
      <c r="K57" s="249"/>
      <c r="L57" s="79">
        <f>IF('Segment Tables'!$D$7="No",'Segment Tables'!H11,'Segment Tables'!L11)</f>
        <v>0.22467771639042358</v>
      </c>
      <c r="M57" s="248">
        <f t="shared" si="3"/>
        <v>0.042831672290651074</v>
      </c>
      <c r="N57" s="250"/>
      <c r="O57" s="19"/>
    </row>
    <row r="58" spans="1:15" ht="12.75">
      <c r="A58" s="246" t="s">
        <v>45</v>
      </c>
      <c r="B58" s="247"/>
      <c r="C58" s="79">
        <f>IF('Segment Tables'!$D$7="No",'Segment Tables'!E12,'Segment Tables'!I12)</f>
        <v>0.14941176470588236</v>
      </c>
      <c r="D58" s="248">
        <f t="shared" si="0"/>
        <v>0.04320939150048417</v>
      </c>
      <c r="E58" s="249"/>
      <c r="F58" s="79">
        <f>IF('Segment Tables'!$D$7="No",'Segment Tables'!F12,'Segment Tables'!J12)</f>
        <v>0.1791530944625407</v>
      </c>
      <c r="G58" s="248">
        <f t="shared" si="1"/>
        <v>0.017657448153105413</v>
      </c>
      <c r="H58" s="249"/>
      <c r="I58" s="79">
        <f>IF('Segment Tables'!$D$7="No",'Segment Tables'!G12,'Segment Tables'!K12)</f>
        <v>0.1595744680851064</v>
      </c>
      <c r="J58" s="248">
        <f t="shared" si="2"/>
        <v>0.005379707763466617</v>
      </c>
      <c r="K58" s="249"/>
      <c r="L58" s="79">
        <f>IF('Segment Tables'!$D$7="No",'Segment Tables'!H12,'Segment Tables'!L12)</f>
        <v>0.13259668508287292</v>
      </c>
      <c r="M58" s="248">
        <f t="shared" si="3"/>
        <v>0.025277708237105546</v>
      </c>
      <c r="N58" s="250"/>
      <c r="O58" s="19"/>
    </row>
    <row r="59" spans="1:15" ht="12.75">
      <c r="A59" s="246" t="s">
        <v>172</v>
      </c>
      <c r="B59" s="247"/>
      <c r="C59" s="79">
        <f>IF('Segment Tables'!$D$7="No",'Segment Tables'!E13,'Segment Tables'!I13)</f>
        <v>0.3247058823529412</v>
      </c>
      <c r="D59" s="248">
        <f t="shared" si="0"/>
        <v>0.09390387444199709</v>
      </c>
      <c r="E59" s="249"/>
      <c r="F59" s="79">
        <f>IF('Segment Tables'!$D$7="No",'Segment Tables'!F13,'Segment Tables'!J13)</f>
        <v>0.2964169381107492</v>
      </c>
      <c r="G59" s="248">
        <f t="shared" si="1"/>
        <v>0.029215050580592598</v>
      </c>
      <c r="H59" s="249"/>
      <c r="I59" s="79">
        <f>IF('Segment Tables'!$D$7="No",'Segment Tables'!G13,'Segment Tables'!K13)</f>
        <v>0.4148936170212766</v>
      </c>
      <c r="J59" s="248">
        <f t="shared" si="2"/>
        <v>0.013987240185013204</v>
      </c>
      <c r="K59" s="249"/>
      <c r="L59" s="79">
        <f>IF('Segment Tables'!$D$7="No",'Segment Tables'!H13,'Segment Tables'!L13)</f>
        <v>0.3241252302025783</v>
      </c>
      <c r="M59" s="248">
        <f t="shared" si="3"/>
        <v>0.061789953468480235</v>
      </c>
      <c r="N59" s="250"/>
      <c r="O59" s="39"/>
    </row>
    <row r="60" spans="1:15" ht="13.5" thickBot="1">
      <c r="A60" s="251" t="s">
        <v>173</v>
      </c>
      <c r="B60" s="252"/>
      <c r="C60" s="79">
        <f>IF('Segment Tables'!$D$7="No",'Segment Tables'!E14,'Segment Tables'!I14)</f>
        <v>0.10941176470588235</v>
      </c>
      <c r="D60" s="248">
        <f t="shared" si="0"/>
        <v>0.03164152290980336</v>
      </c>
      <c r="E60" s="249"/>
      <c r="F60" s="79">
        <f>IF('Segment Tables'!$D$7="No",'Segment Tables'!F14,'Segment Tables'!J14)</f>
        <v>0.09446254071661238</v>
      </c>
      <c r="G60" s="248">
        <f t="shared" si="1"/>
        <v>0.009310290844364673</v>
      </c>
      <c r="H60" s="249"/>
      <c r="I60" s="79">
        <f>IF('Segment Tables'!$D$7="No",'Segment Tables'!G14,'Segment Tables'!K14)</f>
        <v>0.06382978723404255</v>
      </c>
      <c r="J60" s="248">
        <f t="shared" si="2"/>
        <v>0.0021518831053866467</v>
      </c>
      <c r="K60" s="249"/>
      <c r="L60" s="79">
        <f>IF('Segment Tables'!$D$7="No",'Segment Tables'!H14,'Segment Tables'!L14)</f>
        <v>0.13443830570902393</v>
      </c>
      <c r="M60" s="248">
        <f t="shared" si="3"/>
        <v>0.025628787518176457</v>
      </c>
      <c r="N60" s="250"/>
      <c r="O60" s="39"/>
    </row>
    <row r="61" spans="1:15" ht="12.75">
      <c r="A61" s="227" t="s">
        <v>155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Bot="1" thickTop="1">
      <c r="A64" s="229" t="s">
        <v>179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39"/>
    </row>
    <row r="65" spans="1:15" ht="12.75">
      <c r="A65" s="230" t="s">
        <v>19</v>
      </c>
      <c r="B65" s="231"/>
      <c r="C65" s="231"/>
      <c r="D65" s="232" t="s">
        <v>20</v>
      </c>
      <c r="E65" s="231"/>
      <c r="F65" s="231"/>
      <c r="G65" s="231"/>
      <c r="H65" s="231"/>
      <c r="I65" s="234" t="s">
        <v>21</v>
      </c>
      <c r="J65" s="231"/>
      <c r="K65" s="231"/>
      <c r="L65" s="232" t="s">
        <v>22</v>
      </c>
      <c r="M65" s="231"/>
      <c r="N65" s="235"/>
      <c r="O65" s="39"/>
    </row>
    <row r="66" spans="1:15" ht="12.75">
      <c r="A66" s="236" t="s">
        <v>49</v>
      </c>
      <c r="B66" s="237"/>
      <c r="C66" s="237"/>
      <c r="D66" s="239" t="s">
        <v>50</v>
      </c>
      <c r="E66" s="240"/>
      <c r="F66" s="240"/>
      <c r="G66" s="240"/>
      <c r="H66" s="240"/>
      <c r="I66" s="241" t="s">
        <v>51</v>
      </c>
      <c r="J66" s="242"/>
      <c r="K66" s="242"/>
      <c r="L66" s="239" t="s">
        <v>52</v>
      </c>
      <c r="M66" s="244"/>
      <c r="N66" s="245"/>
      <c r="O66" s="39"/>
    </row>
    <row r="67" spans="1:15" ht="12.75">
      <c r="A67" s="238"/>
      <c r="B67" s="237"/>
      <c r="C67" s="237"/>
      <c r="D67" s="223" t="s">
        <v>180</v>
      </c>
      <c r="E67" s="210"/>
      <c r="F67" s="210"/>
      <c r="G67" s="210"/>
      <c r="H67" s="210"/>
      <c r="I67" s="243"/>
      <c r="J67" s="243"/>
      <c r="K67" s="243"/>
      <c r="L67" s="223" t="s">
        <v>181</v>
      </c>
      <c r="M67" s="210"/>
      <c r="N67" s="216"/>
      <c r="O67" s="39"/>
    </row>
    <row r="68" spans="1:15" ht="12.75">
      <c r="A68" s="224" t="s">
        <v>39</v>
      </c>
      <c r="B68" s="225"/>
      <c r="C68" s="225"/>
      <c r="D68" s="220">
        <f>+M37</f>
        <v>0.28919671476702</v>
      </c>
      <c r="E68" s="221"/>
      <c r="F68" s="221"/>
      <c r="G68" s="221"/>
      <c r="H68" s="221"/>
      <c r="I68" s="220">
        <f>+$J$10</f>
        <v>0.1</v>
      </c>
      <c r="J68" s="221"/>
      <c r="K68" s="221"/>
      <c r="L68" s="220">
        <f>+D68/I68</f>
        <v>2.8919671476702002</v>
      </c>
      <c r="M68" s="221"/>
      <c r="N68" s="222"/>
      <c r="O68" s="39"/>
    </row>
    <row r="69" spans="1:15" ht="12.75">
      <c r="A69" s="224" t="s">
        <v>40</v>
      </c>
      <c r="B69" s="225"/>
      <c r="C69" s="225"/>
      <c r="D69" s="220">
        <f>+M38</f>
        <v>0.09856066514551567</v>
      </c>
      <c r="E69" s="221"/>
      <c r="F69" s="221"/>
      <c r="G69" s="221"/>
      <c r="H69" s="221"/>
      <c r="I69" s="220">
        <f>+$J$10</f>
        <v>0.1</v>
      </c>
      <c r="J69" s="221"/>
      <c r="K69" s="221"/>
      <c r="L69" s="220">
        <f>+D69/I69</f>
        <v>0.9856066514551567</v>
      </c>
      <c r="M69" s="221"/>
      <c r="N69" s="222"/>
      <c r="O69" s="39"/>
    </row>
    <row r="70" spans="1:15" ht="14.25">
      <c r="A70" s="226" t="s">
        <v>153</v>
      </c>
      <c r="B70" s="225"/>
      <c r="C70" s="225"/>
      <c r="D70" s="220">
        <f>+M39</f>
        <v>0.033712835317724135</v>
      </c>
      <c r="E70" s="221"/>
      <c r="F70" s="221"/>
      <c r="G70" s="221"/>
      <c r="H70" s="221"/>
      <c r="I70" s="220">
        <f>+$J$10</f>
        <v>0.1</v>
      </c>
      <c r="J70" s="221"/>
      <c r="K70" s="221"/>
      <c r="L70" s="220">
        <f>+D70/I70</f>
        <v>0.3371283531772413</v>
      </c>
      <c r="M70" s="221"/>
      <c r="N70" s="222"/>
      <c r="O70" s="39"/>
    </row>
    <row r="71" spans="1:15" ht="13.5" thickBot="1">
      <c r="A71" s="217" t="s">
        <v>41</v>
      </c>
      <c r="B71" s="218"/>
      <c r="C71" s="218"/>
      <c r="D71" s="219">
        <f>+M41</f>
        <v>0.19063604962150435</v>
      </c>
      <c r="E71" s="219"/>
      <c r="F71" s="219"/>
      <c r="G71" s="219"/>
      <c r="H71" s="219"/>
      <c r="I71" s="220">
        <f>+$J$10</f>
        <v>0.1</v>
      </c>
      <c r="J71" s="221"/>
      <c r="K71" s="221"/>
      <c r="L71" s="220">
        <f>+D71/I71</f>
        <v>1.9063604962150433</v>
      </c>
      <c r="M71" s="221"/>
      <c r="N71" s="222"/>
      <c r="O71" s="39"/>
    </row>
    <row r="72" spans="1:15" ht="12.75">
      <c r="A72" s="227" t="s">
        <v>155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39"/>
    </row>
    <row r="73" spans="1:15" ht="12.75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ht="12.75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ht="12.75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ht="12.75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ht="12.75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ht="12.75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ht="12.75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ht="12.75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ht="12.75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ht="12.75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sheetProtection/>
  <mergeCells count="247"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K4:N4"/>
    <mergeCell ref="A7:C7"/>
    <mergeCell ref="E7:G7"/>
    <mergeCell ref="H7:J7"/>
    <mergeCell ref="K7:N7"/>
    <mergeCell ref="A6:C6"/>
    <mergeCell ref="E6:G6"/>
    <mergeCell ref="H6:J6"/>
    <mergeCell ref="K6:N6"/>
    <mergeCell ref="H9:I9"/>
    <mergeCell ref="J9:N9"/>
    <mergeCell ref="A8:G8"/>
    <mergeCell ref="H8:I8"/>
    <mergeCell ref="J8:N8"/>
    <mergeCell ref="A9:G9"/>
    <mergeCell ref="A12:G12"/>
    <mergeCell ref="H12:I12"/>
    <mergeCell ref="J12:N12"/>
    <mergeCell ref="H10:I10"/>
    <mergeCell ref="J11:N11"/>
    <mergeCell ref="J10:N10"/>
    <mergeCell ref="H11:I11"/>
    <mergeCell ref="A10:G10"/>
    <mergeCell ref="A11:D11"/>
    <mergeCell ref="A13:G13"/>
    <mergeCell ref="H13:I13"/>
    <mergeCell ref="J16:N16"/>
    <mergeCell ref="J15:N15"/>
    <mergeCell ref="J14:N14"/>
    <mergeCell ref="J13:N13"/>
    <mergeCell ref="A14:G14"/>
    <mergeCell ref="H14:I14"/>
    <mergeCell ref="J17:N17"/>
    <mergeCell ref="M38:N38"/>
    <mergeCell ref="A22:N22"/>
    <mergeCell ref="D65:H65"/>
    <mergeCell ref="I65:K65"/>
    <mergeCell ref="L65:N65"/>
    <mergeCell ref="A65:C65"/>
    <mergeCell ref="A64:N64"/>
    <mergeCell ref="M23:N23"/>
    <mergeCell ref="M27:N27"/>
    <mergeCell ref="A68:C68"/>
    <mergeCell ref="D68:H68"/>
    <mergeCell ref="I68:K68"/>
    <mergeCell ref="L68:N68"/>
    <mergeCell ref="D67:H67"/>
    <mergeCell ref="L67:N67"/>
    <mergeCell ref="A66:C67"/>
    <mergeCell ref="D66:H66"/>
    <mergeCell ref="I71:K71"/>
    <mergeCell ref="A70:C70"/>
    <mergeCell ref="D70:H70"/>
    <mergeCell ref="I70:K70"/>
    <mergeCell ref="L70:N70"/>
    <mergeCell ref="A69:C69"/>
    <mergeCell ref="A23:B23"/>
    <mergeCell ref="C23:E23"/>
    <mergeCell ref="F23:G23"/>
    <mergeCell ref="H23:I23"/>
    <mergeCell ref="J23:L23"/>
    <mergeCell ref="F26:G26"/>
    <mergeCell ref="H26:I26"/>
    <mergeCell ref="A26:B26"/>
    <mergeCell ref="C26:E26"/>
    <mergeCell ref="J26:L26"/>
    <mergeCell ref="A19:G19"/>
    <mergeCell ref="H19:I19"/>
    <mergeCell ref="J19:N19"/>
    <mergeCell ref="A18:G18"/>
    <mergeCell ref="H18:I18"/>
    <mergeCell ref="J18:N18"/>
    <mergeCell ref="A17:G17"/>
    <mergeCell ref="H17:I17"/>
    <mergeCell ref="A16:G16"/>
    <mergeCell ref="H16:I16"/>
    <mergeCell ref="A15:G15"/>
    <mergeCell ref="H15:I15"/>
    <mergeCell ref="M26:N26"/>
    <mergeCell ref="A24:B25"/>
    <mergeCell ref="C24:E25"/>
    <mergeCell ref="F24:G25"/>
    <mergeCell ref="H24:I25"/>
    <mergeCell ref="M24:N25"/>
    <mergeCell ref="J24:L25"/>
    <mergeCell ref="A39:B39"/>
    <mergeCell ref="H38:I38"/>
    <mergeCell ref="H39:I39"/>
    <mergeCell ref="J37:K37"/>
    <mergeCell ref="J38:K38"/>
    <mergeCell ref="J39:K39"/>
    <mergeCell ref="J34:K34"/>
    <mergeCell ref="L34:L36"/>
    <mergeCell ref="C35:E35"/>
    <mergeCell ref="J35:K36"/>
    <mergeCell ref="A37:B37"/>
    <mergeCell ref="A38:B38"/>
    <mergeCell ref="J33:K33"/>
    <mergeCell ref="A46:N46"/>
    <mergeCell ref="L40:L41"/>
    <mergeCell ref="M40:N40"/>
    <mergeCell ref="A40:B41"/>
    <mergeCell ref="C40:C41"/>
    <mergeCell ref="A34:B36"/>
    <mergeCell ref="C34:E34"/>
    <mergeCell ref="F34:G35"/>
    <mergeCell ref="H34:I35"/>
    <mergeCell ref="A47:B47"/>
    <mergeCell ref="D47:E47"/>
    <mergeCell ref="G47:H47"/>
    <mergeCell ref="J47:K47"/>
    <mergeCell ref="M47:N47"/>
    <mergeCell ref="A42:N42"/>
    <mergeCell ref="D40:D41"/>
    <mergeCell ref="E40:E41"/>
    <mergeCell ref="M41:N41"/>
    <mergeCell ref="M51:N52"/>
    <mergeCell ref="A53:B53"/>
    <mergeCell ref="D53:E53"/>
    <mergeCell ref="G53:H53"/>
    <mergeCell ref="J53:K53"/>
    <mergeCell ref="M53:N53"/>
    <mergeCell ref="J48:K50"/>
    <mergeCell ref="L48:L50"/>
    <mergeCell ref="M48:N50"/>
    <mergeCell ref="C51:C52"/>
    <mergeCell ref="D51:E52"/>
    <mergeCell ref="F51:F52"/>
    <mergeCell ref="G51:H52"/>
    <mergeCell ref="I51:I52"/>
    <mergeCell ref="J51:K52"/>
    <mergeCell ref="L51:L52"/>
    <mergeCell ref="A48:B52"/>
    <mergeCell ref="C48:C50"/>
    <mergeCell ref="D48:E50"/>
    <mergeCell ref="F48:F50"/>
    <mergeCell ref="G48:H50"/>
    <mergeCell ref="I48:I50"/>
    <mergeCell ref="A54:B54"/>
    <mergeCell ref="D54:E54"/>
    <mergeCell ref="G54:H54"/>
    <mergeCell ref="J54:K54"/>
    <mergeCell ref="M54:N54"/>
    <mergeCell ref="A55:B55"/>
    <mergeCell ref="D55:E55"/>
    <mergeCell ref="G55:H55"/>
    <mergeCell ref="J55:K55"/>
    <mergeCell ref="M55:N55"/>
    <mergeCell ref="M56:N56"/>
    <mergeCell ref="A57:B57"/>
    <mergeCell ref="D57:E57"/>
    <mergeCell ref="G57:H57"/>
    <mergeCell ref="J57:K57"/>
    <mergeCell ref="M57:N57"/>
    <mergeCell ref="A72:N72"/>
    <mergeCell ref="A60:B60"/>
    <mergeCell ref="D60:E60"/>
    <mergeCell ref="G60:H60"/>
    <mergeCell ref="J60:K60"/>
    <mergeCell ref="M60:N60"/>
    <mergeCell ref="A61:N61"/>
    <mergeCell ref="D69:H69"/>
    <mergeCell ref="I69:K69"/>
    <mergeCell ref="L69:N69"/>
    <mergeCell ref="A59:B59"/>
    <mergeCell ref="D59:E59"/>
    <mergeCell ref="G59:H59"/>
    <mergeCell ref="J59:K59"/>
    <mergeCell ref="M59:N59"/>
    <mergeCell ref="L71:N71"/>
    <mergeCell ref="L66:N66"/>
    <mergeCell ref="I66:K67"/>
    <mergeCell ref="A71:C71"/>
    <mergeCell ref="D71:H71"/>
    <mergeCell ref="J28:L28"/>
    <mergeCell ref="A58:B58"/>
    <mergeCell ref="D58:E58"/>
    <mergeCell ref="G58:H58"/>
    <mergeCell ref="J58:K58"/>
    <mergeCell ref="M58:N58"/>
    <mergeCell ref="A56:B56"/>
    <mergeCell ref="D56:E56"/>
    <mergeCell ref="G56:H56"/>
    <mergeCell ref="J56:K56"/>
    <mergeCell ref="M39:N39"/>
    <mergeCell ref="M36:N36"/>
    <mergeCell ref="M33:N33"/>
    <mergeCell ref="M34:N35"/>
    <mergeCell ref="M37:N37"/>
    <mergeCell ref="A32:N32"/>
    <mergeCell ref="A33:B33"/>
    <mergeCell ref="C33:E33"/>
    <mergeCell ref="F33:G33"/>
    <mergeCell ref="H33:I33"/>
    <mergeCell ref="F40:G41"/>
    <mergeCell ref="F39:G39"/>
    <mergeCell ref="H40:I41"/>
    <mergeCell ref="J40:K41"/>
    <mergeCell ref="H37:I37"/>
    <mergeCell ref="F36:G36"/>
    <mergeCell ref="H36:I36"/>
    <mergeCell ref="F37:G37"/>
    <mergeCell ref="F38:G38"/>
    <mergeCell ref="M28:N28"/>
    <mergeCell ref="A27:B27"/>
    <mergeCell ref="C27:E27"/>
    <mergeCell ref="F27:G27"/>
    <mergeCell ref="H27:I27"/>
    <mergeCell ref="J27:L27"/>
    <mergeCell ref="F28:G28"/>
    <mergeCell ref="C28:E28"/>
    <mergeCell ref="H28:I28"/>
    <mergeCell ref="A28:B28"/>
    <mergeCell ref="R35:S35"/>
    <mergeCell ref="R36:S36"/>
    <mergeCell ref="R13:V14"/>
    <mergeCell ref="R15:S16"/>
    <mergeCell ref="T15:V15"/>
    <mergeCell ref="R17:S17"/>
    <mergeCell ref="R18:S18"/>
    <mergeCell ref="R19:S19"/>
    <mergeCell ref="R21:S21"/>
    <mergeCell ref="R20:S20"/>
    <mergeCell ref="R22:S22"/>
    <mergeCell ref="R23:S23"/>
    <mergeCell ref="R24:V25"/>
    <mergeCell ref="R30:V31"/>
    <mergeCell ref="R34:S34"/>
    <mergeCell ref="R32:S33"/>
    <mergeCell ref="T32:V32"/>
    <mergeCell ref="R43:V46"/>
    <mergeCell ref="R41:S41"/>
    <mergeCell ref="R42:S42"/>
    <mergeCell ref="R39:S39"/>
    <mergeCell ref="R40:S40"/>
    <mergeCell ref="R37:S37"/>
    <mergeCell ref="R38:S38"/>
  </mergeCells>
  <conditionalFormatting sqref="J11:N11">
    <cfRule type="cellIs" priority="1" dxfId="0" operator="greaterThan" stopIfTrue="1">
      <formula>$F$11</formula>
    </cfRule>
  </conditionalFormatting>
  <dataValidations count="10">
    <dataValidation type="list" allowBlank="1" showInputMessage="1" showErrorMessage="1" errorTitle="Invalid" sqref="J18:N18">
      <formula1>SpEnforce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Error Input" error="Select from the values provided.  Refer to p. 11-13 of the HSM for lane width rounding options." sqref="J12:N12">
      <formula1>LWidth</formula1>
    </dataValidation>
    <dataValidation type="list" allowBlank="1" showInputMessage="1" showErrorMessage="1" errorTitle="Input Error" error="Select from the options provided.  Refer to p. 11-13 of the HSM for rounding recommendations for shoulder widths." sqref="J13:N13">
      <formula1>Shld3</formula1>
    </dataValidation>
    <dataValidation type="list" allowBlank="1" showInputMessage="1" showErrorMessage="1" sqref="J14:N14">
      <formula1>SType</formula1>
    </dataValidation>
    <dataValidation type="decimal" operator="greaterThan" allowBlank="1" showInputMessage="1" showErrorMessage="1" sqref="J10:N10">
      <formula1>0</formula1>
    </dataValidation>
    <dataValidation operator="greaterThan" allowBlank="1" showInputMessage="1" showErrorMessage="1" sqref="J9:N9"/>
    <dataValidation type="list" allowBlank="1" showInputMessage="1" showErrorMessage="1" sqref="J16:N16">
      <formula1>SSlope2</formula1>
    </dataValidation>
    <dataValidation type="whole" operator="greaterThan" allowBlank="1" showInputMessage="1" showErrorMessage="1" sqref="K7:N7">
      <formula1>1990</formula1>
    </dataValidation>
    <dataValidation type="whole" operator="lessThanOrEqual" allowBlank="1" showInputMessage="1" showErrorMessage="1" sqref="J11:N11">
      <formula1>33200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6" width="13.7109375" style="0" customWidth="1"/>
    <col min="7" max="7" width="14.7109375" style="0" customWidth="1"/>
    <col min="8" max="10" width="13.7109375" style="0" customWidth="1"/>
    <col min="11" max="11" width="14.7109375" style="0" customWidth="1"/>
    <col min="12" max="13" width="13.7109375" style="0" customWidth="1"/>
    <col min="14" max="32" width="12.7109375" style="0" customWidth="1"/>
  </cols>
  <sheetData>
    <row r="1" spans="2:15" ht="12.75">
      <c r="B1" s="151" t="s">
        <v>387</v>
      </c>
      <c r="O1" s="151" t="s">
        <v>388</v>
      </c>
    </row>
    <row r="2" spans="2:27" ht="13.5" thickBot="1">
      <c r="B2" s="7"/>
      <c r="E2" s="33"/>
      <c r="K2" s="8"/>
      <c r="U2" s="39"/>
      <c r="AA2" s="39"/>
    </row>
    <row r="3" spans="2:27" ht="13.5" thickTop="1">
      <c r="B3" s="389" t="s">
        <v>424</v>
      </c>
      <c r="C3" s="389"/>
      <c r="D3" s="389"/>
      <c r="E3" s="389"/>
      <c r="F3" s="389"/>
      <c r="G3" s="389"/>
      <c r="H3" s="389"/>
      <c r="I3" s="389"/>
      <c r="J3" s="389"/>
      <c r="K3" s="380"/>
      <c r="L3" s="380"/>
      <c r="U3" s="39"/>
      <c r="AA3" s="21"/>
    </row>
    <row r="4" spans="2:27" ht="13.5" thickBot="1">
      <c r="B4" s="202"/>
      <c r="C4" s="202"/>
      <c r="D4" s="202"/>
      <c r="E4" s="202"/>
      <c r="F4" s="202"/>
      <c r="G4" s="202"/>
      <c r="H4" s="202"/>
      <c r="I4" s="202"/>
      <c r="J4" s="202"/>
      <c r="K4" s="382"/>
      <c r="L4" s="382"/>
      <c r="AA4" s="21"/>
    </row>
    <row r="5" spans="2:29" ht="13.5" thickBot="1">
      <c r="B5" s="395" t="s">
        <v>64</v>
      </c>
      <c r="C5" s="395"/>
      <c r="D5" s="396"/>
      <c r="E5" s="440" t="s">
        <v>186</v>
      </c>
      <c r="F5" s="440"/>
      <c r="G5" s="440"/>
      <c r="H5" s="440"/>
      <c r="I5" s="440"/>
      <c r="J5" s="440"/>
      <c r="K5" s="415"/>
      <c r="L5" s="416"/>
      <c r="AA5" s="62"/>
      <c r="AC5" s="39"/>
    </row>
    <row r="6" spans="2:33" ht="13.5" thickTop="1">
      <c r="B6" s="397"/>
      <c r="C6" s="397"/>
      <c r="D6" s="398"/>
      <c r="E6" s="394" t="s">
        <v>62</v>
      </c>
      <c r="F6" s="394"/>
      <c r="G6" s="394"/>
      <c r="H6" s="247"/>
      <c r="I6" s="244" t="s">
        <v>63</v>
      </c>
      <c r="J6" s="247"/>
      <c r="K6" s="247"/>
      <c r="L6" s="310"/>
      <c r="O6" s="389" t="s">
        <v>429</v>
      </c>
      <c r="P6" s="389"/>
      <c r="Q6" s="389"/>
      <c r="R6" s="389"/>
      <c r="S6" s="389"/>
      <c r="T6" s="389"/>
      <c r="U6" s="389"/>
      <c r="V6" s="389"/>
      <c r="W6" s="389"/>
      <c r="X6" s="389"/>
      <c r="Y6" s="380"/>
      <c r="Z6" s="380"/>
      <c r="AA6" s="62"/>
      <c r="AC6" s="201" t="s">
        <v>435</v>
      </c>
      <c r="AD6" s="201"/>
      <c r="AE6" s="201"/>
      <c r="AF6" s="201"/>
      <c r="AG6" s="201"/>
    </row>
    <row r="7" spans="2:33" ht="13.5" thickBot="1">
      <c r="B7" s="403" t="s">
        <v>90</v>
      </c>
      <c r="C7" s="210"/>
      <c r="D7" s="164" t="s">
        <v>88</v>
      </c>
      <c r="E7" s="384" t="s">
        <v>39</v>
      </c>
      <c r="F7" s="317" t="s">
        <v>80</v>
      </c>
      <c r="G7" s="317" t="s">
        <v>193</v>
      </c>
      <c r="H7" s="317" t="s">
        <v>194</v>
      </c>
      <c r="I7" s="384" t="s">
        <v>39</v>
      </c>
      <c r="J7" s="317" t="s">
        <v>80</v>
      </c>
      <c r="K7" s="317" t="s">
        <v>193</v>
      </c>
      <c r="L7" s="386" t="s">
        <v>194</v>
      </c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382"/>
      <c r="Z7" s="382"/>
      <c r="AA7" s="38"/>
      <c r="AC7" s="202"/>
      <c r="AD7" s="202"/>
      <c r="AE7" s="202"/>
      <c r="AF7" s="202"/>
      <c r="AG7" s="202"/>
    </row>
    <row r="8" spans="2:33" ht="12.75">
      <c r="B8" s="328"/>
      <c r="C8" s="328"/>
      <c r="D8" s="328"/>
      <c r="E8" s="385"/>
      <c r="F8" s="402"/>
      <c r="G8" s="402"/>
      <c r="H8" s="402"/>
      <c r="I8" s="385"/>
      <c r="J8" s="402"/>
      <c r="K8" s="402"/>
      <c r="L8" s="387"/>
      <c r="O8" s="438" t="s">
        <v>55</v>
      </c>
      <c r="P8" s="443" t="s">
        <v>8</v>
      </c>
      <c r="Q8" s="388"/>
      <c r="R8" s="388"/>
      <c r="S8" s="388"/>
      <c r="T8" s="388"/>
      <c r="U8" s="388"/>
      <c r="V8" s="388"/>
      <c r="W8" s="388"/>
      <c r="X8" s="388"/>
      <c r="Y8" s="444"/>
      <c r="Z8" s="444"/>
      <c r="AA8" s="38"/>
      <c r="AC8" s="201" t="s">
        <v>209</v>
      </c>
      <c r="AD8" s="399"/>
      <c r="AE8" s="375" t="s">
        <v>210</v>
      </c>
      <c r="AF8" s="376"/>
      <c r="AG8" s="376"/>
    </row>
    <row r="9" spans="2:33" ht="12.75">
      <c r="B9" s="390" t="s">
        <v>187</v>
      </c>
      <c r="C9" s="391"/>
      <c r="D9" s="391"/>
      <c r="E9" s="98">
        <v>0.009</v>
      </c>
      <c r="F9" s="98">
        <v>0.029</v>
      </c>
      <c r="G9" s="98">
        <v>0.043</v>
      </c>
      <c r="H9" s="3">
        <v>0.001</v>
      </c>
      <c r="I9" s="156">
        <v>0.024705882352941175</v>
      </c>
      <c r="J9" s="165">
        <v>0.03257328990228013</v>
      </c>
      <c r="K9" s="165">
        <v>0.06382978723404255</v>
      </c>
      <c r="L9" s="156">
        <v>0.020257826887661142</v>
      </c>
      <c r="O9" s="439"/>
      <c r="P9" s="26">
        <v>0</v>
      </c>
      <c r="Q9" s="26">
        <v>1</v>
      </c>
      <c r="R9" s="26">
        <v>2</v>
      </c>
      <c r="S9" s="26">
        <v>3</v>
      </c>
      <c r="T9" s="26">
        <v>4</v>
      </c>
      <c r="U9" s="26">
        <v>5</v>
      </c>
      <c r="V9" s="26">
        <v>6</v>
      </c>
      <c r="W9" s="26">
        <v>7</v>
      </c>
      <c r="X9" s="13">
        <v>8</v>
      </c>
      <c r="Y9" s="68">
        <v>9</v>
      </c>
      <c r="Z9" s="22">
        <v>10</v>
      </c>
      <c r="AA9" s="38"/>
      <c r="AC9" s="400"/>
      <c r="AD9" s="401"/>
      <c r="AE9" s="377"/>
      <c r="AF9" s="378"/>
      <c r="AG9" s="378"/>
    </row>
    <row r="10" spans="2:33" ht="12.75">
      <c r="B10" s="390" t="s">
        <v>188</v>
      </c>
      <c r="C10" s="391"/>
      <c r="D10" s="391"/>
      <c r="E10" s="3">
        <v>0.098</v>
      </c>
      <c r="F10" s="3">
        <v>0.048</v>
      </c>
      <c r="G10" s="3">
        <v>0.044</v>
      </c>
      <c r="H10" s="3">
        <v>0.12</v>
      </c>
      <c r="I10" s="156">
        <v>0.12941176470588237</v>
      </c>
      <c r="J10" s="156">
        <v>0.06840390879478828</v>
      </c>
      <c r="K10" s="156">
        <v>0.02127659574468085</v>
      </c>
      <c r="L10" s="156">
        <v>0.16390423572744015</v>
      </c>
      <c r="O10" s="35" t="s">
        <v>67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f>+(T10+V10)/2</f>
        <v>1</v>
      </c>
      <c r="V10" s="14">
        <v>1</v>
      </c>
      <c r="W10" s="14">
        <f>+(V10+X10)/2</f>
        <v>1</v>
      </c>
      <c r="X10" s="15">
        <v>1</v>
      </c>
      <c r="Y10" s="14">
        <f>+(X10+Z10)/2</f>
        <v>1</v>
      </c>
      <c r="Z10" s="15">
        <v>1</v>
      </c>
      <c r="AA10" s="38"/>
      <c r="AC10" s="196">
        <v>0</v>
      </c>
      <c r="AD10" s="197"/>
      <c r="AE10" s="374">
        <v>1.18</v>
      </c>
      <c r="AF10" s="209"/>
      <c r="AG10" s="209"/>
    </row>
    <row r="11" spans="2:33" ht="12.75">
      <c r="B11" s="390" t="s">
        <v>189</v>
      </c>
      <c r="C11" s="391"/>
      <c r="D11" s="391"/>
      <c r="E11" s="3">
        <v>0.246</v>
      </c>
      <c r="F11" s="3">
        <v>0.305</v>
      </c>
      <c r="G11" s="3">
        <v>0.217</v>
      </c>
      <c r="H11" s="3">
        <v>0.22</v>
      </c>
      <c r="I11" s="156">
        <v>0.26235294117647057</v>
      </c>
      <c r="J11" s="156">
        <v>0.3289902280130293</v>
      </c>
      <c r="K11" s="156">
        <v>0.2765957446808511</v>
      </c>
      <c r="L11" s="156">
        <v>0.22467771639042358</v>
      </c>
      <c r="O11" s="35" t="s">
        <v>68</v>
      </c>
      <c r="P11" s="14">
        <v>1</v>
      </c>
      <c r="Q11" s="14">
        <v>1</v>
      </c>
      <c r="R11" s="14">
        <v>1.01</v>
      </c>
      <c r="S11" s="14">
        <v>1.01</v>
      </c>
      <c r="T11" s="14">
        <v>1.01</v>
      </c>
      <c r="U11" s="14">
        <f>+(T11+V11)/2</f>
        <v>1.0150000000000001</v>
      </c>
      <c r="V11" s="14">
        <v>1.02</v>
      </c>
      <c r="W11" s="14">
        <f>+(V11+X11)/2</f>
        <v>1.02</v>
      </c>
      <c r="X11" s="15">
        <v>1.02</v>
      </c>
      <c r="Y11" s="14">
        <f>+(X11+Z11)/2</f>
        <v>1.025</v>
      </c>
      <c r="Z11" s="15">
        <v>1.03</v>
      </c>
      <c r="AA11" s="39"/>
      <c r="AC11" s="197">
        <v>1</v>
      </c>
      <c r="AD11" s="210"/>
      <c r="AE11" s="374">
        <f>+(AE10+AE12)/2</f>
        <v>1.1549999999999998</v>
      </c>
      <c r="AF11" s="209"/>
      <c r="AG11" s="209"/>
    </row>
    <row r="12" spans="2:33" ht="12.75">
      <c r="B12" s="390" t="s">
        <v>190</v>
      </c>
      <c r="C12" s="391"/>
      <c r="D12" s="391"/>
      <c r="E12" s="3">
        <v>0.356</v>
      </c>
      <c r="F12" s="3">
        <v>0.352</v>
      </c>
      <c r="G12" s="3">
        <v>0.348</v>
      </c>
      <c r="H12" s="3">
        <v>0.358</v>
      </c>
      <c r="I12" s="156">
        <v>0.14941176470588236</v>
      </c>
      <c r="J12" s="156">
        <v>0.1791530944625407</v>
      </c>
      <c r="K12" s="156">
        <v>0.1595744680851064</v>
      </c>
      <c r="L12" s="156">
        <v>0.13259668508287292</v>
      </c>
      <c r="O12" s="35" t="s">
        <v>69</v>
      </c>
      <c r="P12" s="14">
        <v>1</v>
      </c>
      <c r="Q12" s="14">
        <v>1.01</v>
      </c>
      <c r="R12" s="14">
        <v>1.02</v>
      </c>
      <c r="S12" s="14">
        <v>1.02</v>
      </c>
      <c r="T12" s="14">
        <v>1.03</v>
      </c>
      <c r="U12" s="14">
        <f>+(T12+V12)/2</f>
        <v>1.0350000000000001</v>
      </c>
      <c r="V12" s="14">
        <v>1.04</v>
      </c>
      <c r="W12" s="14">
        <f>+(V12+X12)/2</f>
        <v>1.05</v>
      </c>
      <c r="X12" s="15">
        <v>1.06</v>
      </c>
      <c r="Y12" s="99">
        <f>+(X12+Z12)/2</f>
        <v>1.065</v>
      </c>
      <c r="Z12" s="100">
        <v>1.07</v>
      </c>
      <c r="AA12" s="39"/>
      <c r="AC12" s="372">
        <v>2</v>
      </c>
      <c r="AD12" s="210"/>
      <c r="AE12" s="374">
        <v>1.13</v>
      </c>
      <c r="AF12" s="209"/>
      <c r="AG12" s="209"/>
    </row>
    <row r="13" spans="2:37" ht="13.5" thickBot="1">
      <c r="B13" s="390" t="s">
        <v>191</v>
      </c>
      <c r="C13" s="391"/>
      <c r="D13" s="391"/>
      <c r="E13" s="3">
        <v>0.238</v>
      </c>
      <c r="F13" s="3">
        <v>0.238</v>
      </c>
      <c r="G13" s="3">
        <v>0.304</v>
      </c>
      <c r="H13" s="3">
        <v>0.237</v>
      </c>
      <c r="I13" s="156">
        <v>0.3247058823529412</v>
      </c>
      <c r="J13" s="156">
        <v>0.2964169381107492</v>
      </c>
      <c r="K13" s="156">
        <v>0.4148936170212766</v>
      </c>
      <c r="L13" s="156">
        <v>0.3241252302025783</v>
      </c>
      <c r="O13" s="36" t="s">
        <v>70</v>
      </c>
      <c r="P13" s="16">
        <v>1</v>
      </c>
      <c r="Q13" s="16">
        <v>1.01</v>
      </c>
      <c r="R13" s="16">
        <v>1.03</v>
      </c>
      <c r="S13" s="16">
        <v>1.04</v>
      </c>
      <c r="T13" s="16">
        <v>1.05</v>
      </c>
      <c r="U13" s="14">
        <f>+(T13+V13)/2</f>
        <v>1.065</v>
      </c>
      <c r="V13" s="16">
        <v>1.08</v>
      </c>
      <c r="W13" s="14">
        <f>+(V13+X13)/2</f>
        <v>1.0950000000000002</v>
      </c>
      <c r="X13" s="17">
        <v>1.11</v>
      </c>
      <c r="Y13" s="16">
        <f>+(X13+Z13)/2</f>
        <v>1.125</v>
      </c>
      <c r="Z13" s="17">
        <v>1.14</v>
      </c>
      <c r="AA13" s="39"/>
      <c r="AC13" s="197">
        <v>3</v>
      </c>
      <c r="AD13" s="210"/>
      <c r="AE13" s="374">
        <f>+(AE12+AE14)/2</f>
        <v>1.1099999999999999</v>
      </c>
      <c r="AF13" s="209"/>
      <c r="AG13" s="209"/>
      <c r="AH13" s="39"/>
      <c r="AI13" s="39"/>
      <c r="AJ13" s="39"/>
      <c r="AK13" s="39"/>
    </row>
    <row r="14" spans="2:33" ht="13.5" thickBot="1">
      <c r="B14" s="441" t="s">
        <v>192</v>
      </c>
      <c r="C14" s="442"/>
      <c r="D14" s="442"/>
      <c r="E14" s="70">
        <v>0.053</v>
      </c>
      <c r="F14" s="70">
        <v>0.028</v>
      </c>
      <c r="G14" s="70">
        <v>0.044</v>
      </c>
      <c r="H14" s="70">
        <v>0.064</v>
      </c>
      <c r="I14" s="166">
        <v>0.10941176470588235</v>
      </c>
      <c r="J14" s="166">
        <v>0.09446254071661238</v>
      </c>
      <c r="K14" s="166">
        <v>0.06382978723404255</v>
      </c>
      <c r="L14" s="166">
        <v>0.13443830570902393</v>
      </c>
      <c r="M14" s="29"/>
      <c r="O14" s="435" t="s">
        <v>86</v>
      </c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39"/>
      <c r="AC14" s="372">
        <v>4</v>
      </c>
      <c r="AD14" s="210"/>
      <c r="AE14" s="374">
        <v>1.09</v>
      </c>
      <c r="AF14" s="209"/>
      <c r="AG14" s="209"/>
    </row>
    <row r="15" spans="1:33" ht="14.25" thickBot="1" thickTop="1">
      <c r="A15" s="39"/>
      <c r="B15" s="392" t="s">
        <v>212</v>
      </c>
      <c r="C15" s="393"/>
      <c r="D15" s="393"/>
      <c r="E15" s="118">
        <v>0.27</v>
      </c>
      <c r="F15" s="118"/>
      <c r="G15" s="118"/>
      <c r="H15" s="118"/>
      <c r="I15" s="160">
        <v>0.4788235294117647</v>
      </c>
      <c r="J15" s="160"/>
      <c r="K15" s="160"/>
      <c r="L15" s="161"/>
      <c r="M15" s="90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39"/>
      <c r="AC15" s="197">
        <v>5</v>
      </c>
      <c r="AD15" s="210"/>
      <c r="AE15" s="374">
        <f>+(AE14+AE16)/2</f>
        <v>1.065</v>
      </c>
      <c r="AF15" s="209"/>
      <c r="AG15" s="209"/>
    </row>
    <row r="16" spans="1:33" ht="12.75">
      <c r="A16" s="39"/>
      <c r="B16" s="227" t="s">
        <v>155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39"/>
      <c r="U16" s="39"/>
      <c r="AA16" s="39"/>
      <c r="AC16" s="372">
        <v>6</v>
      </c>
      <c r="AD16" s="210"/>
      <c r="AE16" s="374">
        <v>1.04</v>
      </c>
      <c r="AF16" s="209"/>
      <c r="AG16" s="209"/>
    </row>
    <row r="17" spans="1:33" ht="12.75">
      <c r="A17" s="39"/>
      <c r="B17" s="193" t="s">
        <v>476</v>
      </c>
      <c r="M17" s="39"/>
      <c r="U17" s="39"/>
      <c r="AA17" s="39"/>
      <c r="AC17" s="197">
        <v>7</v>
      </c>
      <c r="AD17" s="210"/>
      <c r="AE17" s="374">
        <f>+(AE16+AE18)/2</f>
        <v>1.02</v>
      </c>
      <c r="AF17" s="209"/>
      <c r="AG17" s="209"/>
    </row>
    <row r="18" spans="1:33" ht="12.75">
      <c r="A18" s="39"/>
      <c r="M18" s="39"/>
      <c r="U18" s="39"/>
      <c r="AA18" s="39"/>
      <c r="AC18" s="372">
        <v>8</v>
      </c>
      <c r="AD18" s="210"/>
      <c r="AE18" s="427">
        <v>1</v>
      </c>
      <c r="AF18" s="210"/>
      <c r="AG18" s="216"/>
    </row>
    <row r="19" spans="1:33" ht="13.5" thickBot="1">
      <c r="A19" s="39"/>
      <c r="M19" s="39"/>
      <c r="AC19" s="424">
        <v>9</v>
      </c>
      <c r="AD19" s="293"/>
      <c r="AE19" s="427">
        <v>1</v>
      </c>
      <c r="AF19" s="210"/>
      <c r="AG19" s="216"/>
    </row>
    <row r="20" spans="1:33" ht="14.25" thickBot="1" thickTop="1">
      <c r="A20" s="39"/>
      <c r="B20" s="389" t="s">
        <v>425</v>
      </c>
      <c r="C20" s="389"/>
      <c r="D20" s="389"/>
      <c r="E20" s="389"/>
      <c r="F20" s="389"/>
      <c r="G20" s="389"/>
      <c r="H20" s="389"/>
      <c r="I20" s="389"/>
      <c r="J20" s="389"/>
      <c r="K20" s="380"/>
      <c r="L20" s="380"/>
      <c r="M20" s="39"/>
      <c r="O20" s="389" t="s">
        <v>430</v>
      </c>
      <c r="P20" s="418"/>
      <c r="Q20" s="418"/>
      <c r="R20" s="418"/>
      <c r="S20" s="418"/>
      <c r="T20" s="418"/>
      <c r="AC20" s="425">
        <v>10</v>
      </c>
      <c r="AD20" s="426"/>
      <c r="AE20" s="431">
        <v>1</v>
      </c>
      <c r="AF20" s="422"/>
      <c r="AG20" s="432"/>
    </row>
    <row r="21" spans="1:20" ht="13.5" thickBot="1">
      <c r="A21" s="39"/>
      <c r="B21" s="202"/>
      <c r="C21" s="202"/>
      <c r="D21" s="202"/>
      <c r="E21" s="202"/>
      <c r="F21" s="202"/>
      <c r="G21" s="202"/>
      <c r="H21" s="202"/>
      <c r="I21" s="202"/>
      <c r="J21" s="202"/>
      <c r="K21" s="382"/>
      <c r="L21" s="382"/>
      <c r="M21" s="39"/>
      <c r="O21" s="419"/>
      <c r="P21" s="419"/>
      <c r="Q21" s="419"/>
      <c r="R21" s="419"/>
      <c r="S21" s="419"/>
      <c r="T21" s="419"/>
    </row>
    <row r="22" spans="1:20" ht="12.75">
      <c r="A22" s="39"/>
      <c r="B22" s="395" t="s">
        <v>64</v>
      </c>
      <c r="C22" s="395"/>
      <c r="D22" s="396"/>
      <c r="E22" s="440" t="s">
        <v>186</v>
      </c>
      <c r="F22" s="440"/>
      <c r="G22" s="440"/>
      <c r="H22" s="440"/>
      <c r="I22" s="440"/>
      <c r="J22" s="440"/>
      <c r="K22" s="415"/>
      <c r="L22" s="416"/>
      <c r="M22" s="39"/>
      <c r="O22" s="182" t="s">
        <v>197</v>
      </c>
      <c r="P22" s="153" t="s">
        <v>398</v>
      </c>
      <c r="Q22" s="153" t="s">
        <v>198</v>
      </c>
      <c r="R22" s="153" t="s">
        <v>199</v>
      </c>
      <c r="S22" s="153" t="s">
        <v>200</v>
      </c>
      <c r="T22" s="183" t="s">
        <v>201</v>
      </c>
    </row>
    <row r="23" spans="1:20" ht="12.75">
      <c r="A23" s="39"/>
      <c r="B23" s="397"/>
      <c r="C23" s="397"/>
      <c r="D23" s="398"/>
      <c r="E23" s="394" t="s">
        <v>62</v>
      </c>
      <c r="F23" s="394"/>
      <c r="G23" s="394"/>
      <c r="H23" s="247"/>
      <c r="I23" s="244" t="s">
        <v>63</v>
      </c>
      <c r="J23" s="247"/>
      <c r="K23" s="247"/>
      <c r="L23" s="310"/>
      <c r="M23" s="39"/>
      <c r="O23" s="184">
        <v>1.18</v>
      </c>
      <c r="P23" s="14">
        <v>1.15</v>
      </c>
      <c r="Q23" s="14">
        <v>1.12</v>
      </c>
      <c r="R23" s="14">
        <v>1.09</v>
      </c>
      <c r="S23" s="14">
        <v>1.05</v>
      </c>
      <c r="T23" s="15">
        <v>1</v>
      </c>
    </row>
    <row r="24" spans="1:13" ht="13.5" thickBot="1">
      <c r="A24" s="39"/>
      <c r="B24" s="403" t="s">
        <v>90</v>
      </c>
      <c r="C24" s="210"/>
      <c r="D24" s="154" t="s">
        <v>88</v>
      </c>
      <c r="E24" s="384" t="s">
        <v>39</v>
      </c>
      <c r="F24" s="317" t="s">
        <v>80</v>
      </c>
      <c r="G24" s="317" t="s">
        <v>193</v>
      </c>
      <c r="H24" s="317" t="s">
        <v>194</v>
      </c>
      <c r="I24" s="384" t="s">
        <v>39</v>
      </c>
      <c r="J24" s="317" t="s">
        <v>80</v>
      </c>
      <c r="K24" s="317" t="s">
        <v>193</v>
      </c>
      <c r="L24" s="386" t="s">
        <v>194</v>
      </c>
      <c r="M24" s="39"/>
    </row>
    <row r="25" spans="1:32" ht="13.5" thickTop="1">
      <c r="A25" s="39"/>
      <c r="B25" s="328"/>
      <c r="C25" s="328"/>
      <c r="D25" s="328"/>
      <c r="E25" s="385"/>
      <c r="F25" s="402"/>
      <c r="G25" s="402"/>
      <c r="H25" s="402"/>
      <c r="I25" s="385"/>
      <c r="J25" s="402"/>
      <c r="K25" s="402"/>
      <c r="L25" s="387"/>
      <c r="M25" s="39"/>
      <c r="AC25" s="379" t="s">
        <v>437</v>
      </c>
      <c r="AD25" s="380"/>
      <c r="AE25" s="380"/>
      <c r="AF25" s="380"/>
    </row>
    <row r="26" spans="1:32" ht="12.75">
      <c r="A26" s="39"/>
      <c r="B26" s="390" t="s">
        <v>187</v>
      </c>
      <c r="C26" s="391"/>
      <c r="D26" s="391"/>
      <c r="E26" s="98">
        <v>0.006</v>
      </c>
      <c r="F26" s="98">
        <v>0.013</v>
      </c>
      <c r="G26" s="98">
        <v>0.018</v>
      </c>
      <c r="H26" s="3">
        <v>0.002</v>
      </c>
      <c r="I26" s="156">
        <v>0.016112266112266113</v>
      </c>
      <c r="J26" s="156">
        <v>0.02502194907813872</v>
      </c>
      <c r="K26" s="156">
        <v>0.03930817610062893</v>
      </c>
      <c r="L26" s="157">
        <v>0.01030337721808815</v>
      </c>
      <c r="M26" s="39"/>
      <c r="AC26" s="381"/>
      <c r="AD26" s="381"/>
      <c r="AE26" s="381"/>
      <c r="AF26" s="381"/>
    </row>
    <row r="27" spans="1:32" ht="13.5" thickBot="1">
      <c r="A27" s="39"/>
      <c r="B27" s="390" t="s">
        <v>188</v>
      </c>
      <c r="C27" s="391"/>
      <c r="D27" s="391"/>
      <c r="E27" s="3">
        <v>0.043</v>
      </c>
      <c r="F27" s="3">
        <v>0.027</v>
      </c>
      <c r="G27" s="3">
        <v>0.022</v>
      </c>
      <c r="H27" s="3">
        <v>0.053</v>
      </c>
      <c r="I27" s="156">
        <v>0.11295911295911296</v>
      </c>
      <c r="J27" s="156">
        <v>0.061018437225636525</v>
      </c>
      <c r="K27" s="156">
        <v>0.0440251572327044</v>
      </c>
      <c r="L27" s="157">
        <v>0.14682312535775616</v>
      </c>
      <c r="M27" s="39"/>
      <c r="AC27" s="382"/>
      <c r="AD27" s="382"/>
      <c r="AE27" s="382"/>
      <c r="AF27" s="382"/>
    </row>
    <row r="28" spans="1:32" ht="13.5" thickBot="1">
      <c r="A28" s="39"/>
      <c r="B28" s="390" t="s">
        <v>189</v>
      </c>
      <c r="C28" s="391"/>
      <c r="D28" s="391"/>
      <c r="E28" s="3">
        <v>0.116</v>
      </c>
      <c r="F28" s="3">
        <v>0.163</v>
      </c>
      <c r="G28" s="3">
        <v>0.114</v>
      </c>
      <c r="H28" s="3">
        <v>0.088</v>
      </c>
      <c r="I28" s="156">
        <v>0.2648995148995149</v>
      </c>
      <c r="J28" s="156">
        <v>0.3244073748902546</v>
      </c>
      <c r="K28" s="156">
        <v>0.2672955974842767</v>
      </c>
      <c r="L28" s="157">
        <v>0.22610188895248998</v>
      </c>
      <c r="M28" s="39"/>
      <c r="O28" s="39"/>
      <c r="AC28" s="388" t="s">
        <v>382</v>
      </c>
      <c r="AD28" s="388"/>
      <c r="AE28" s="388" t="s">
        <v>210</v>
      </c>
      <c r="AF28" s="388"/>
    </row>
    <row r="29" spans="1:37" ht="12.75">
      <c r="A29" s="39"/>
      <c r="B29" s="390" t="s">
        <v>190</v>
      </c>
      <c r="C29" s="391"/>
      <c r="D29" s="391"/>
      <c r="E29" s="3">
        <v>0.043</v>
      </c>
      <c r="F29" s="3">
        <v>0.048</v>
      </c>
      <c r="G29" s="3">
        <v>0.045</v>
      </c>
      <c r="H29" s="3">
        <v>0.041</v>
      </c>
      <c r="I29" s="156">
        <v>0.10914760914760915</v>
      </c>
      <c r="J29" s="156">
        <v>0.1391571553994732</v>
      </c>
      <c r="K29" s="156">
        <v>0.1619496855345912</v>
      </c>
      <c r="L29" s="157">
        <v>0.08958214081282198</v>
      </c>
      <c r="M29" s="39"/>
      <c r="AC29" s="383">
        <v>10</v>
      </c>
      <c r="AD29" s="231"/>
      <c r="AE29" s="428">
        <v>1.04</v>
      </c>
      <c r="AF29" s="235"/>
      <c r="AH29" s="117"/>
      <c r="AI29" s="39"/>
      <c r="AJ29" s="39"/>
      <c r="AK29" s="39"/>
    </row>
    <row r="30" spans="1:32" ht="12.75">
      <c r="A30" s="39"/>
      <c r="B30" s="390" t="s">
        <v>191</v>
      </c>
      <c r="C30" s="391"/>
      <c r="D30" s="391"/>
      <c r="E30" s="3">
        <v>0.768</v>
      </c>
      <c r="F30" s="3">
        <v>0.727</v>
      </c>
      <c r="G30" s="3">
        <v>0.778</v>
      </c>
      <c r="H30" s="3">
        <v>0.792</v>
      </c>
      <c r="I30" s="156">
        <v>0.4293139293139293</v>
      </c>
      <c r="J30" s="156">
        <v>0.40166812993854256</v>
      </c>
      <c r="K30" s="156">
        <v>0.44339622641509435</v>
      </c>
      <c r="L30" s="157">
        <v>0.44733829421866056</v>
      </c>
      <c r="M30" s="39"/>
      <c r="AC30" s="420">
        <v>20</v>
      </c>
      <c r="AD30" s="210"/>
      <c r="AE30" s="258">
        <v>1.02</v>
      </c>
      <c r="AF30" s="286"/>
    </row>
    <row r="31" spans="1:32" ht="13.5" thickBot="1">
      <c r="A31" s="39"/>
      <c r="B31" s="433" t="s">
        <v>192</v>
      </c>
      <c r="C31" s="434"/>
      <c r="D31" s="434"/>
      <c r="E31" s="71">
        <v>0.024</v>
      </c>
      <c r="F31" s="71">
        <v>0.022</v>
      </c>
      <c r="G31" s="71">
        <v>0.023</v>
      </c>
      <c r="H31" s="71">
        <v>0.024</v>
      </c>
      <c r="I31" s="158">
        <v>0.06756756756756757</v>
      </c>
      <c r="J31" s="158">
        <v>0.048726953467954345</v>
      </c>
      <c r="K31" s="158">
        <v>0.0440251572327044</v>
      </c>
      <c r="L31" s="159">
        <v>0.07985117344018317</v>
      </c>
      <c r="M31" s="39"/>
      <c r="AC31" s="420">
        <v>30</v>
      </c>
      <c r="AD31" s="210"/>
      <c r="AE31" s="258">
        <v>1</v>
      </c>
      <c r="AF31" s="286"/>
    </row>
    <row r="32" spans="1:32" ht="14.25" thickBot="1" thickTop="1">
      <c r="A32" s="39"/>
      <c r="B32" s="392" t="s">
        <v>212</v>
      </c>
      <c r="C32" s="393"/>
      <c r="D32" s="393"/>
      <c r="E32" s="118">
        <v>0.5</v>
      </c>
      <c r="F32" s="118"/>
      <c r="G32" s="118"/>
      <c r="H32" s="118"/>
      <c r="I32" s="160">
        <v>0.5583853083853084</v>
      </c>
      <c r="J32" s="160"/>
      <c r="K32" s="160"/>
      <c r="L32" s="161"/>
      <c r="M32" s="39"/>
      <c r="AC32" s="420">
        <v>40</v>
      </c>
      <c r="AD32" s="210"/>
      <c r="AE32" s="258">
        <v>0.99</v>
      </c>
      <c r="AF32" s="286"/>
    </row>
    <row r="33" spans="1:32" ht="12.75">
      <c r="A33" s="39"/>
      <c r="B33" s="227" t="s">
        <v>155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39"/>
      <c r="AC33" s="420">
        <v>50</v>
      </c>
      <c r="AD33" s="210"/>
      <c r="AE33" s="258">
        <v>0.97</v>
      </c>
      <c r="AF33" s="286"/>
    </row>
    <row r="34" spans="1:32" ht="12.75">
      <c r="A34" s="39"/>
      <c r="B34" s="193" t="s">
        <v>476</v>
      </c>
      <c r="C34" s="39"/>
      <c r="D34" s="39"/>
      <c r="E34" s="33"/>
      <c r="F34" s="33"/>
      <c r="G34" s="33"/>
      <c r="H34" s="33"/>
      <c r="I34" s="12"/>
      <c r="J34" s="12"/>
      <c r="K34" s="12"/>
      <c r="L34" s="12"/>
      <c r="M34" s="39"/>
      <c r="AC34" s="420">
        <v>60</v>
      </c>
      <c r="AD34" s="247"/>
      <c r="AE34" s="258">
        <v>0.96</v>
      </c>
      <c r="AF34" s="310"/>
    </row>
    <row r="35" spans="1:32" ht="12.75">
      <c r="A35" s="39"/>
      <c r="B35" s="92"/>
      <c r="C35" s="39"/>
      <c r="D35" s="39"/>
      <c r="E35" s="33"/>
      <c r="F35" s="12"/>
      <c r="G35" s="33"/>
      <c r="H35" s="33"/>
      <c r="I35" s="12"/>
      <c r="J35" s="12"/>
      <c r="K35" s="12"/>
      <c r="L35" s="12"/>
      <c r="M35" s="39"/>
      <c r="AC35" s="420">
        <v>70</v>
      </c>
      <c r="AD35" s="247"/>
      <c r="AE35" s="258">
        <v>0.96</v>
      </c>
      <c r="AF35" s="310"/>
    </row>
    <row r="36" spans="29:32" ht="13.5" thickBot="1">
      <c r="AC36" s="420">
        <v>80</v>
      </c>
      <c r="AD36" s="247"/>
      <c r="AE36" s="258">
        <v>0.95</v>
      </c>
      <c r="AF36" s="310"/>
    </row>
    <row r="37" spans="2:32" ht="13.5" thickTop="1">
      <c r="B37" s="389" t="s">
        <v>432</v>
      </c>
      <c r="C37" s="389"/>
      <c r="D37" s="389"/>
      <c r="E37" s="389"/>
      <c r="F37" s="389"/>
      <c r="G37" s="389"/>
      <c r="H37" s="389"/>
      <c r="I37" s="389"/>
      <c r="J37" s="389"/>
      <c r="K37" s="380"/>
      <c r="L37" s="380"/>
      <c r="AC37" s="420">
        <v>90</v>
      </c>
      <c r="AD37" s="247"/>
      <c r="AE37" s="258">
        <v>0.94</v>
      </c>
      <c r="AF37" s="310"/>
    </row>
    <row r="38" spans="2:32" ht="13.5" thickBot="1">
      <c r="B38" s="202"/>
      <c r="C38" s="202"/>
      <c r="D38" s="202"/>
      <c r="E38" s="202"/>
      <c r="F38" s="202"/>
      <c r="G38" s="202"/>
      <c r="H38" s="202"/>
      <c r="I38" s="202"/>
      <c r="J38" s="202"/>
      <c r="K38" s="382"/>
      <c r="L38" s="382"/>
      <c r="AC38" s="429">
        <v>100</v>
      </c>
      <c r="AD38" s="252"/>
      <c r="AE38" s="430">
        <v>0.94</v>
      </c>
      <c r="AF38" s="295"/>
    </row>
    <row r="39" spans="2:32" ht="12.75">
      <c r="B39" s="411" t="s">
        <v>85</v>
      </c>
      <c r="C39" s="412"/>
      <c r="D39" s="412"/>
      <c r="E39" s="413" t="s">
        <v>62</v>
      </c>
      <c r="F39" s="413"/>
      <c r="G39" s="413"/>
      <c r="H39" s="413"/>
      <c r="I39" s="414" t="s">
        <v>63</v>
      </c>
      <c r="J39" s="415"/>
      <c r="K39" s="415"/>
      <c r="L39" s="416"/>
      <c r="AC39" s="117"/>
      <c r="AD39" s="39"/>
      <c r="AE39" s="39"/>
      <c r="AF39" s="38"/>
    </row>
    <row r="40" spans="2:29" ht="12.75">
      <c r="B40" s="238"/>
      <c r="C40" s="237"/>
      <c r="D40" s="237"/>
      <c r="E40" s="410" t="s">
        <v>202</v>
      </c>
      <c r="F40" s="292"/>
      <c r="G40" s="410" t="s">
        <v>84</v>
      </c>
      <c r="H40" s="289"/>
      <c r="I40" s="410" t="s">
        <v>202</v>
      </c>
      <c r="J40" s="292"/>
      <c r="K40" s="410" t="s">
        <v>84</v>
      </c>
      <c r="L40" s="288"/>
      <c r="AC40" s="41"/>
    </row>
    <row r="41" spans="2:12" ht="12.75">
      <c r="B41" s="403" t="s">
        <v>90</v>
      </c>
      <c r="C41" s="210"/>
      <c r="D41" s="155" t="s">
        <v>88</v>
      </c>
      <c r="E41" s="292"/>
      <c r="F41" s="292"/>
      <c r="G41" s="289"/>
      <c r="H41" s="289"/>
      <c r="I41" s="292"/>
      <c r="J41" s="292"/>
      <c r="K41" s="289"/>
      <c r="L41" s="288"/>
    </row>
    <row r="42" spans="2:12" ht="12.75">
      <c r="B42" s="417"/>
      <c r="C42" s="247"/>
      <c r="D42" s="247"/>
      <c r="E42" s="289"/>
      <c r="F42" s="289"/>
      <c r="G42" s="289"/>
      <c r="H42" s="289"/>
      <c r="I42" s="289"/>
      <c r="J42" s="289"/>
      <c r="K42" s="289"/>
      <c r="L42" s="288"/>
    </row>
    <row r="43" spans="2:12" ht="12.75">
      <c r="B43" s="285"/>
      <c r="C43" s="247"/>
      <c r="D43" s="247"/>
      <c r="E43" s="404" t="s">
        <v>203</v>
      </c>
      <c r="F43" s="404" t="s">
        <v>204</v>
      </c>
      <c r="G43" s="406" t="s">
        <v>205</v>
      </c>
      <c r="H43" s="405"/>
      <c r="I43" s="404" t="s">
        <v>203</v>
      </c>
      <c r="J43" s="404" t="s">
        <v>204</v>
      </c>
      <c r="K43" s="406" t="s">
        <v>205</v>
      </c>
      <c r="L43" s="407"/>
    </row>
    <row r="44" spans="2:12" ht="12.75">
      <c r="B44" s="285"/>
      <c r="C44" s="247"/>
      <c r="D44" s="247"/>
      <c r="E44" s="405"/>
      <c r="F44" s="405"/>
      <c r="G44" s="405"/>
      <c r="H44" s="405"/>
      <c r="I44" s="405"/>
      <c r="J44" s="405"/>
      <c r="K44" s="405"/>
      <c r="L44" s="407"/>
    </row>
    <row r="45" spans="2:12" ht="13.5" thickBot="1">
      <c r="B45" s="421" t="s">
        <v>206</v>
      </c>
      <c r="C45" s="422"/>
      <c r="D45" s="422"/>
      <c r="E45" s="113">
        <v>0.361</v>
      </c>
      <c r="F45" s="113">
        <v>0.639</v>
      </c>
      <c r="G45" s="423">
        <v>0.255</v>
      </c>
      <c r="H45" s="422"/>
      <c r="I45" s="158">
        <v>0.365</v>
      </c>
      <c r="J45" s="158">
        <v>0.635</v>
      </c>
      <c r="K45" s="408">
        <v>0.319</v>
      </c>
      <c r="L45" s="409"/>
    </row>
    <row r="46" spans="2:12" ht="12.75">
      <c r="B46" s="193" t="s">
        <v>476</v>
      </c>
      <c r="C46" s="103"/>
      <c r="D46" s="103"/>
      <c r="E46" s="104"/>
      <c r="F46" s="50"/>
      <c r="G46" s="50"/>
      <c r="H46" s="50"/>
      <c r="I46" s="50"/>
      <c r="J46" s="50"/>
      <c r="K46" s="50"/>
      <c r="L46" s="50"/>
    </row>
    <row r="47" spans="2:12" ht="12.75">
      <c r="B47" s="102"/>
      <c r="C47" s="103"/>
      <c r="D47" s="103"/>
      <c r="G47" s="50"/>
      <c r="H47" s="50"/>
      <c r="I47" s="50"/>
      <c r="J47" s="50"/>
      <c r="K47" s="50"/>
      <c r="L47" s="50"/>
    </row>
    <row r="48" ht="13.5" thickBot="1"/>
    <row r="49" spans="2:12" ht="13.5" thickTop="1">
      <c r="B49" s="389" t="s">
        <v>439</v>
      </c>
      <c r="C49" s="389"/>
      <c r="D49" s="389"/>
      <c r="E49" s="389"/>
      <c r="F49" s="389"/>
      <c r="G49" s="389"/>
      <c r="H49" s="389"/>
      <c r="I49" s="389"/>
      <c r="J49" s="389"/>
      <c r="K49" s="380"/>
      <c r="L49" s="380"/>
    </row>
    <row r="50" spans="2:12" ht="13.5" thickBot="1">
      <c r="B50" s="202"/>
      <c r="C50" s="202"/>
      <c r="D50" s="202"/>
      <c r="E50" s="202"/>
      <c r="F50" s="202"/>
      <c r="G50" s="202"/>
      <c r="H50" s="202"/>
      <c r="I50" s="202"/>
      <c r="J50" s="202"/>
      <c r="K50" s="382"/>
      <c r="L50" s="382"/>
    </row>
    <row r="51" spans="2:26" ht="12.75">
      <c r="B51" s="411" t="s">
        <v>85</v>
      </c>
      <c r="C51" s="412"/>
      <c r="D51" s="412"/>
      <c r="E51" s="413" t="s">
        <v>62</v>
      </c>
      <c r="F51" s="413"/>
      <c r="G51" s="413"/>
      <c r="H51" s="413"/>
      <c r="I51" s="414" t="s">
        <v>63</v>
      </c>
      <c r="J51" s="415"/>
      <c r="K51" s="415"/>
      <c r="L51" s="416"/>
      <c r="U51" s="29"/>
      <c r="V51" s="29"/>
      <c r="W51" s="29"/>
      <c r="X51" s="29"/>
      <c r="Y51" s="29"/>
      <c r="Z51" s="29"/>
    </row>
    <row r="52" spans="2:26" ht="12.75">
      <c r="B52" s="238"/>
      <c r="C52" s="237"/>
      <c r="D52" s="237"/>
      <c r="E52" s="410" t="s">
        <v>202</v>
      </c>
      <c r="F52" s="292"/>
      <c r="G52" s="410" t="s">
        <v>84</v>
      </c>
      <c r="H52" s="289"/>
      <c r="I52" s="410" t="s">
        <v>202</v>
      </c>
      <c r="J52" s="292"/>
      <c r="K52" s="410" t="s">
        <v>84</v>
      </c>
      <c r="L52" s="288"/>
      <c r="U52" s="181"/>
      <c r="V52" s="181"/>
      <c r="W52" s="181"/>
      <c r="X52" s="181"/>
      <c r="Y52" s="21"/>
      <c r="Z52" s="21"/>
    </row>
    <row r="53" spans="2:26" ht="12.75">
      <c r="B53" s="403" t="s">
        <v>90</v>
      </c>
      <c r="C53" s="210"/>
      <c r="D53" s="155" t="s">
        <v>88</v>
      </c>
      <c r="E53" s="292"/>
      <c r="F53" s="292"/>
      <c r="G53" s="289"/>
      <c r="H53" s="289"/>
      <c r="I53" s="292"/>
      <c r="J53" s="292"/>
      <c r="K53" s="289"/>
      <c r="L53" s="288"/>
      <c r="U53" s="181"/>
      <c r="V53" s="181"/>
      <c r="W53" s="181"/>
      <c r="X53" s="181"/>
      <c r="Y53" s="21"/>
      <c r="Z53" s="21"/>
    </row>
    <row r="54" spans="2:26" ht="12.75">
      <c r="B54" s="417"/>
      <c r="C54" s="247"/>
      <c r="D54" s="247"/>
      <c r="E54" s="289"/>
      <c r="F54" s="289"/>
      <c r="G54" s="289"/>
      <c r="H54" s="289"/>
      <c r="I54" s="289"/>
      <c r="J54" s="289"/>
      <c r="K54" s="289"/>
      <c r="L54" s="288"/>
      <c r="U54" s="29"/>
      <c r="V54" s="29"/>
      <c r="W54" s="29"/>
      <c r="X54" s="29"/>
      <c r="Y54" s="29"/>
      <c r="Z54" s="29"/>
    </row>
    <row r="55" spans="2:13" ht="12.75">
      <c r="B55" s="285"/>
      <c r="C55" s="247"/>
      <c r="D55" s="247"/>
      <c r="E55" s="404" t="s">
        <v>203</v>
      </c>
      <c r="F55" s="404" t="s">
        <v>204</v>
      </c>
      <c r="G55" s="406" t="s">
        <v>205</v>
      </c>
      <c r="H55" s="405"/>
      <c r="I55" s="404" t="s">
        <v>203</v>
      </c>
      <c r="J55" s="404" t="s">
        <v>204</v>
      </c>
      <c r="K55" s="406" t="s">
        <v>205</v>
      </c>
      <c r="L55" s="407"/>
      <c r="M55" s="29"/>
    </row>
    <row r="56" spans="2:13" ht="12.75">
      <c r="B56" s="285"/>
      <c r="C56" s="247"/>
      <c r="D56" s="247"/>
      <c r="E56" s="405"/>
      <c r="F56" s="405"/>
      <c r="G56" s="405"/>
      <c r="H56" s="405"/>
      <c r="I56" s="405"/>
      <c r="J56" s="405"/>
      <c r="K56" s="405"/>
      <c r="L56" s="407"/>
      <c r="M56" s="90"/>
    </row>
    <row r="57" spans="2:13" ht="13.5" thickBot="1">
      <c r="B57" s="421" t="s">
        <v>211</v>
      </c>
      <c r="C57" s="422"/>
      <c r="D57" s="422"/>
      <c r="E57" s="113">
        <v>0.323</v>
      </c>
      <c r="F57" s="113">
        <v>0.677</v>
      </c>
      <c r="G57" s="423">
        <v>0.426</v>
      </c>
      <c r="H57" s="422"/>
      <c r="I57" s="158">
        <v>0.405</v>
      </c>
      <c r="J57" s="158">
        <v>0.595</v>
      </c>
      <c r="K57" s="408">
        <v>0.351</v>
      </c>
      <c r="L57" s="409"/>
      <c r="M57" s="39"/>
    </row>
    <row r="58" spans="2:13" ht="12.75">
      <c r="B58" s="193" t="s">
        <v>476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9"/>
    </row>
    <row r="59" ht="12.75">
      <c r="M59" s="39"/>
    </row>
    <row r="60" ht="12.75">
      <c r="M60" s="39"/>
    </row>
    <row r="61" ht="12.75">
      <c r="M61" s="39"/>
    </row>
    <row r="62" ht="12.75">
      <c r="M62" s="39"/>
    </row>
    <row r="63" ht="12.75">
      <c r="M63" s="39"/>
    </row>
    <row r="64" ht="12.75">
      <c r="M64" s="39"/>
    </row>
    <row r="65" ht="12.75">
      <c r="M65" s="39"/>
    </row>
    <row r="66" spans="13:27" ht="12.75">
      <c r="M66" s="39"/>
      <c r="W66" s="23"/>
      <c r="X66" s="23"/>
      <c r="Y66" s="23"/>
      <c r="Z66" s="23"/>
      <c r="AA66" s="23"/>
    </row>
    <row r="67" ht="12.75">
      <c r="M67" s="39"/>
    </row>
    <row r="68" ht="12.75">
      <c r="M68" s="39"/>
    </row>
    <row r="69" ht="12.75">
      <c r="M69" s="39"/>
    </row>
    <row r="70" spans="2:13" ht="12.75">
      <c r="B70" s="102"/>
      <c r="C70" s="103"/>
      <c r="D70" s="103"/>
      <c r="G70" s="50"/>
      <c r="H70" s="50"/>
      <c r="I70" s="50"/>
      <c r="J70" s="50"/>
      <c r="K70" s="50"/>
      <c r="L70" s="50"/>
      <c r="M70" s="39"/>
    </row>
    <row r="71" spans="2:13" ht="12.75">
      <c r="B71" s="102"/>
      <c r="C71" s="103"/>
      <c r="D71" s="103"/>
      <c r="E71" s="50"/>
      <c r="F71" s="50"/>
      <c r="G71" s="50"/>
      <c r="H71" s="50"/>
      <c r="I71" s="50"/>
      <c r="J71" s="50"/>
      <c r="K71" s="50"/>
      <c r="L71" s="50"/>
      <c r="M71" s="39"/>
    </row>
    <row r="72" spans="2:13" ht="12.75">
      <c r="B72" s="102"/>
      <c r="C72" s="103"/>
      <c r="D72" s="103"/>
      <c r="E72" s="50"/>
      <c r="F72" s="50"/>
      <c r="G72" s="50"/>
      <c r="H72" s="50"/>
      <c r="I72" s="50"/>
      <c r="J72" s="50"/>
      <c r="K72" s="50"/>
      <c r="L72" s="50"/>
      <c r="M72" s="39"/>
    </row>
    <row r="73" spans="2:13" ht="12.75">
      <c r="B73" s="10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39"/>
    </row>
    <row r="74" spans="2:13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ht="12.75">
      <c r="M75" s="39"/>
    </row>
    <row r="76" ht="12.75">
      <c r="M76" s="39"/>
    </row>
    <row r="77" spans="13:20" ht="12.75">
      <c r="M77" s="39"/>
      <c r="T77" s="39"/>
    </row>
    <row r="83" spans="23:27" ht="12.75">
      <c r="W83" s="115"/>
      <c r="X83" s="115"/>
      <c r="Y83" s="115"/>
      <c r="Z83" s="115"/>
      <c r="AA83" s="115"/>
    </row>
    <row r="84" spans="2:12" ht="12.75">
      <c r="B84" s="102"/>
      <c r="C84" s="103"/>
      <c r="D84" s="103"/>
      <c r="E84" s="104"/>
      <c r="F84" s="50"/>
      <c r="G84" s="50"/>
      <c r="H84" s="50"/>
      <c r="I84" s="50"/>
      <c r="J84" s="50"/>
      <c r="K84" s="50"/>
      <c r="L84" s="50"/>
    </row>
  </sheetData>
  <sheetProtection/>
  <mergeCells count="137">
    <mergeCell ref="L7:L8"/>
    <mergeCell ref="H7:H8"/>
    <mergeCell ref="B9:D9"/>
    <mergeCell ref="B8:D8"/>
    <mergeCell ref="B7:C7"/>
    <mergeCell ref="B5:D6"/>
    <mergeCell ref="I7:I8"/>
    <mergeCell ref="B3:L4"/>
    <mergeCell ref="E5:L5"/>
    <mergeCell ref="I6:L6"/>
    <mergeCell ref="E6:H6"/>
    <mergeCell ref="E7:E8"/>
    <mergeCell ref="G45:H45"/>
    <mergeCell ref="E43:E44"/>
    <mergeCell ref="F43:F44"/>
    <mergeCell ref="G43:H44"/>
    <mergeCell ref="B41:C41"/>
    <mergeCell ref="B28:D28"/>
    <mergeCell ref="E22:L22"/>
    <mergeCell ref="F7:F8"/>
    <mergeCell ref="B13:D13"/>
    <mergeCell ref="B10:D10"/>
    <mergeCell ref="B14:D14"/>
    <mergeCell ref="G7:G8"/>
    <mergeCell ref="B27:D27"/>
    <mergeCell ref="J7:J8"/>
    <mergeCell ref="K7:K8"/>
    <mergeCell ref="I39:L39"/>
    <mergeCell ref="E40:F42"/>
    <mergeCell ref="G40:H42"/>
    <mergeCell ref="K40:L42"/>
    <mergeCell ref="B45:D45"/>
    <mergeCell ref="B42:D44"/>
    <mergeCell ref="AC33:AD33"/>
    <mergeCell ref="AC16:AD16"/>
    <mergeCell ref="AC12:AD12"/>
    <mergeCell ref="AC32:AD32"/>
    <mergeCell ref="O14:Z15"/>
    <mergeCell ref="O6:Z7"/>
    <mergeCell ref="O8:O9"/>
    <mergeCell ref="P8:Z8"/>
    <mergeCell ref="B12:D12"/>
    <mergeCell ref="B11:D11"/>
    <mergeCell ref="AE19:AG19"/>
    <mergeCell ref="AE20:AG20"/>
    <mergeCell ref="AC31:AD31"/>
    <mergeCell ref="AE31:AF31"/>
    <mergeCell ref="B29:D29"/>
    <mergeCell ref="B31:D31"/>
    <mergeCell ref="B30:D30"/>
    <mergeCell ref="H24:H25"/>
    <mergeCell ref="AE32:AF32"/>
    <mergeCell ref="AE29:AF29"/>
    <mergeCell ref="AC30:AD30"/>
    <mergeCell ref="AE30:AF30"/>
    <mergeCell ref="AE37:AF37"/>
    <mergeCell ref="AC38:AD38"/>
    <mergeCell ref="AE38:AF38"/>
    <mergeCell ref="AE33:AF33"/>
    <mergeCell ref="AC34:AD34"/>
    <mergeCell ref="AE34:AF34"/>
    <mergeCell ref="AE35:AF35"/>
    <mergeCell ref="AC36:AD36"/>
    <mergeCell ref="AE36:AF36"/>
    <mergeCell ref="AC37:AD37"/>
    <mergeCell ref="AE13:AG13"/>
    <mergeCell ref="AE14:AG14"/>
    <mergeCell ref="AE18:AG18"/>
    <mergeCell ref="AE15:AG15"/>
    <mergeCell ref="AE16:AG16"/>
    <mergeCell ref="AE17:AG17"/>
    <mergeCell ref="B57:D57"/>
    <mergeCell ref="G57:H57"/>
    <mergeCell ref="K55:L56"/>
    <mergeCell ref="AC11:AD11"/>
    <mergeCell ref="K57:L57"/>
    <mergeCell ref="AC13:AD13"/>
    <mergeCell ref="AC19:AD19"/>
    <mergeCell ref="AC20:AD20"/>
    <mergeCell ref="I43:I44"/>
    <mergeCell ref="AC15:AD15"/>
    <mergeCell ref="B54:D56"/>
    <mergeCell ref="AC10:AD10"/>
    <mergeCell ref="O20:T21"/>
    <mergeCell ref="AC14:AD14"/>
    <mergeCell ref="E55:E56"/>
    <mergeCell ref="F55:F56"/>
    <mergeCell ref="G55:H56"/>
    <mergeCell ref="AC35:AD35"/>
    <mergeCell ref="AC17:AD17"/>
    <mergeCell ref="AC18:AD18"/>
    <mergeCell ref="I55:I56"/>
    <mergeCell ref="J55:J56"/>
    <mergeCell ref="B51:D52"/>
    <mergeCell ref="E51:H51"/>
    <mergeCell ref="I51:L51"/>
    <mergeCell ref="E52:F54"/>
    <mergeCell ref="G52:H54"/>
    <mergeCell ref="I52:J54"/>
    <mergeCell ref="K52:L54"/>
    <mergeCell ref="B53:C53"/>
    <mergeCell ref="B49:L50"/>
    <mergeCell ref="B33:L33"/>
    <mergeCell ref="B32:D32"/>
    <mergeCell ref="J43:J44"/>
    <mergeCell ref="K43:L44"/>
    <mergeCell ref="K45:L45"/>
    <mergeCell ref="I40:J42"/>
    <mergeCell ref="B37:L38"/>
    <mergeCell ref="B39:D40"/>
    <mergeCell ref="E39:H39"/>
    <mergeCell ref="I24:I25"/>
    <mergeCell ref="J24:J25"/>
    <mergeCell ref="K24:K25"/>
    <mergeCell ref="G24:G25"/>
    <mergeCell ref="B24:C24"/>
    <mergeCell ref="F24:F25"/>
    <mergeCell ref="B26:D26"/>
    <mergeCell ref="AC6:AG7"/>
    <mergeCell ref="B16:L16"/>
    <mergeCell ref="B15:D15"/>
    <mergeCell ref="E23:H23"/>
    <mergeCell ref="I23:L23"/>
    <mergeCell ref="B22:D23"/>
    <mergeCell ref="AC8:AD9"/>
    <mergeCell ref="AE10:AG10"/>
    <mergeCell ref="AE11:AG11"/>
    <mergeCell ref="AE12:AG12"/>
    <mergeCell ref="AE8:AG9"/>
    <mergeCell ref="AC25:AF27"/>
    <mergeCell ref="AC29:AD29"/>
    <mergeCell ref="E24:E25"/>
    <mergeCell ref="L24:L25"/>
    <mergeCell ref="AC28:AD28"/>
    <mergeCell ref="AE28:AF28"/>
    <mergeCell ref="B20:L21"/>
    <mergeCell ref="B25:D25"/>
  </mergeCells>
  <dataValidations count="1">
    <dataValidation type="list" allowBlank="1" showInputMessage="1" showErrorMessage="1" sqref="D53 D41 D24 D7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82"/>
  <sheetViews>
    <sheetView zoomScale="90" zoomScaleNormal="90" zoomScalePageLayoutView="0" workbookViewId="0" topLeftCell="A1">
      <selection activeCell="D4" sqref="D4:F4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140625" style="0" customWidth="1"/>
    <col min="6" max="6" width="13.28125" style="0" customWidth="1"/>
    <col min="7" max="7" width="12.28125" style="0" customWidth="1"/>
    <col min="8" max="8" width="13.8515625" style="0" customWidth="1"/>
    <col min="9" max="9" width="18.421875" style="0" customWidth="1"/>
    <col min="10" max="10" width="15.7109375" style="0" customWidth="1"/>
    <col min="11" max="11" width="15.57421875" style="0" customWidth="1"/>
    <col min="12" max="12" width="17.421875" style="0" customWidth="1"/>
    <col min="13" max="13" width="14.57421875" style="0" customWidth="1"/>
    <col min="15" max="15" width="61.140625" style="0" customWidth="1"/>
    <col min="16" max="16" width="11.140625" style="0" customWidth="1"/>
    <col min="17" max="17" width="11.00390625" style="0" customWidth="1"/>
    <col min="18" max="18" width="10.7109375" style="0" customWidth="1"/>
    <col min="19" max="19" width="12.140625" style="0" customWidth="1"/>
    <col min="20" max="20" width="10.8515625" style="0" customWidth="1"/>
    <col min="21" max="21" width="12.00390625" style="0" customWidth="1"/>
    <col min="22" max="22" width="10.8515625" style="0" customWidth="1"/>
    <col min="25" max="25" width="12.140625" style="0" customWidth="1"/>
    <col min="26" max="26" width="10.8515625" style="0" customWidth="1"/>
    <col min="27" max="27" width="11.140625" style="0" customWidth="1"/>
    <col min="28" max="28" width="13.00390625" style="0" customWidth="1"/>
    <col min="29" max="29" width="10.28125" style="0" customWidth="1"/>
    <col min="30" max="30" width="11.57421875" style="0" customWidth="1"/>
    <col min="39" max="39" width="11.00390625" style="0" customWidth="1"/>
    <col min="40" max="40" width="12.421875" style="0" customWidth="1"/>
    <col min="41" max="41" width="10.421875" style="0" customWidth="1"/>
    <col min="42" max="42" width="10.7109375" style="0" customWidth="1"/>
    <col min="43" max="43" width="12.421875" style="0" customWidth="1"/>
    <col min="44" max="44" width="10.421875" style="0" customWidth="1"/>
    <col min="45" max="45" width="11.7109375" style="0" customWidth="1"/>
    <col min="46" max="46" width="10.421875" style="0" customWidth="1"/>
    <col min="49" max="49" width="10.140625" style="0" customWidth="1"/>
  </cols>
  <sheetData>
    <row r="1" spans="15:59" ht="13.5" thickBot="1">
      <c r="O1" s="39"/>
      <c r="P1" s="39"/>
      <c r="Q1" s="7"/>
      <c r="T1" s="33"/>
      <c r="Z1" s="8"/>
      <c r="AB1" s="39"/>
      <c r="AC1" s="39"/>
      <c r="AD1" s="39"/>
      <c r="AE1" s="39"/>
      <c r="AL1" s="39"/>
      <c r="AM1" s="39"/>
      <c r="AN1" s="39"/>
      <c r="AO1" s="39"/>
      <c r="AP1" s="39"/>
      <c r="AQ1" s="39"/>
      <c r="AR1" s="39"/>
      <c r="AS1" s="39"/>
      <c r="AT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</row>
    <row r="2" spans="1:59" ht="14.25" customHeight="1" thickBot="1" thickTop="1">
      <c r="A2" s="229" t="s">
        <v>213</v>
      </c>
      <c r="B2" s="274"/>
      <c r="C2" s="274"/>
      <c r="D2" s="302"/>
      <c r="E2" s="302"/>
      <c r="F2" s="302"/>
      <c r="G2" s="302"/>
      <c r="H2" s="302"/>
      <c r="I2" s="302"/>
      <c r="J2" s="302"/>
      <c r="K2" s="302"/>
      <c r="L2" s="302"/>
      <c r="M2" s="302"/>
      <c r="O2" s="39"/>
      <c r="P2" s="91"/>
      <c r="AB2" s="62"/>
      <c r="AC2" s="62"/>
      <c r="AD2" s="62"/>
      <c r="AE2" s="39"/>
      <c r="AL2" s="39"/>
      <c r="AM2" s="62"/>
      <c r="AN2" s="39"/>
      <c r="AO2" s="39"/>
      <c r="AP2" s="39"/>
      <c r="AQ2" s="39"/>
      <c r="AR2" s="39"/>
      <c r="AS2" s="39"/>
      <c r="AT2" s="39"/>
      <c r="AV2" s="39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39"/>
    </row>
    <row r="3" spans="1:59" ht="12.75">
      <c r="A3" s="361" t="s">
        <v>0</v>
      </c>
      <c r="B3" s="362"/>
      <c r="C3" s="362"/>
      <c r="D3" s="362"/>
      <c r="E3" s="362"/>
      <c r="F3" s="363"/>
      <c r="G3" s="364" t="s">
        <v>11</v>
      </c>
      <c r="H3" s="365"/>
      <c r="I3" s="365"/>
      <c r="J3" s="365"/>
      <c r="K3" s="365"/>
      <c r="L3" s="365"/>
      <c r="M3" s="365"/>
      <c r="O3" s="39"/>
      <c r="P3" s="33"/>
      <c r="AB3" s="33"/>
      <c r="AC3" s="33"/>
      <c r="AD3" s="33"/>
      <c r="AE3" s="39"/>
      <c r="AL3" s="39"/>
      <c r="AM3" s="39"/>
      <c r="AN3" s="39"/>
      <c r="AO3" s="39"/>
      <c r="AP3" s="39"/>
      <c r="AQ3" s="39"/>
      <c r="AR3" s="39"/>
      <c r="AS3" s="39"/>
      <c r="AT3" s="39"/>
      <c r="AV3" s="39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39"/>
    </row>
    <row r="4" spans="1:59" ht="12.75">
      <c r="A4" s="367" t="s">
        <v>1</v>
      </c>
      <c r="B4" s="367"/>
      <c r="C4" s="341"/>
      <c r="D4" s="350" t="s">
        <v>471</v>
      </c>
      <c r="E4" s="346"/>
      <c r="F4" s="368"/>
      <c r="G4" s="369" t="s">
        <v>12</v>
      </c>
      <c r="H4" s="367"/>
      <c r="I4" s="341"/>
      <c r="J4" s="350" t="s">
        <v>473</v>
      </c>
      <c r="K4" s="346"/>
      <c r="L4" s="346"/>
      <c r="M4" s="346"/>
      <c r="O4" s="39"/>
      <c r="P4" s="64"/>
      <c r="AB4" s="91"/>
      <c r="AC4" s="91"/>
      <c r="AD4" s="91"/>
      <c r="AE4" s="39"/>
      <c r="AL4" s="39"/>
      <c r="AM4" s="62"/>
      <c r="AN4" s="62"/>
      <c r="AO4" s="62"/>
      <c r="AP4" s="33"/>
      <c r="AQ4" s="62"/>
      <c r="AR4" s="33"/>
      <c r="AS4" s="33"/>
      <c r="AT4" s="33"/>
      <c r="AV4" s="39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39"/>
    </row>
    <row r="5" spans="1:59" ht="12.75">
      <c r="A5" s="344" t="s">
        <v>2</v>
      </c>
      <c r="B5" s="353"/>
      <c r="C5" s="354"/>
      <c r="D5" s="366" t="s">
        <v>472</v>
      </c>
      <c r="E5" s="358"/>
      <c r="F5" s="359"/>
      <c r="G5" s="507" t="s">
        <v>91</v>
      </c>
      <c r="H5" s="353"/>
      <c r="I5" s="354"/>
      <c r="J5" s="360" t="s">
        <v>477</v>
      </c>
      <c r="K5" s="358"/>
      <c r="L5" s="358"/>
      <c r="M5" s="358"/>
      <c r="O5" s="39"/>
      <c r="P5" s="39"/>
      <c r="AB5" s="62"/>
      <c r="AC5" s="62"/>
      <c r="AD5" s="62"/>
      <c r="AE5" s="39"/>
      <c r="AL5" s="39"/>
      <c r="AM5" s="62"/>
      <c r="AN5" s="62"/>
      <c r="AO5" s="33"/>
      <c r="AP5" s="33"/>
      <c r="AQ5" s="33"/>
      <c r="AR5" s="33"/>
      <c r="AS5" s="33"/>
      <c r="AT5" s="33"/>
      <c r="AV5" s="39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39"/>
    </row>
    <row r="6" spans="1:59" ht="12.75" customHeight="1">
      <c r="A6" s="344" t="s">
        <v>3</v>
      </c>
      <c r="B6" s="353"/>
      <c r="C6" s="354"/>
      <c r="D6" s="357">
        <v>42160</v>
      </c>
      <c r="E6" s="358"/>
      <c r="F6" s="359"/>
      <c r="G6" s="352" t="s">
        <v>14</v>
      </c>
      <c r="H6" s="353"/>
      <c r="I6" s="354"/>
      <c r="J6" s="360" t="s">
        <v>478</v>
      </c>
      <c r="K6" s="358"/>
      <c r="L6" s="358"/>
      <c r="M6" s="358"/>
      <c r="O6" s="39"/>
      <c r="P6" s="39"/>
      <c r="AB6" s="33"/>
      <c r="AC6" s="62"/>
      <c r="AD6" s="33"/>
      <c r="AE6" s="39"/>
      <c r="AL6" s="39"/>
      <c r="AM6" s="33"/>
      <c r="AN6" s="33"/>
      <c r="AO6" s="33"/>
      <c r="AP6" s="33"/>
      <c r="AQ6" s="125"/>
      <c r="AR6" s="125"/>
      <c r="AS6" s="125"/>
      <c r="AT6" s="125"/>
      <c r="AV6" s="39"/>
      <c r="AW6" s="41"/>
      <c r="AX6" s="38"/>
      <c r="AY6" s="38"/>
      <c r="AZ6" s="38"/>
      <c r="BA6" s="38"/>
      <c r="BB6" s="38"/>
      <c r="BC6" s="38"/>
      <c r="BD6" s="38"/>
      <c r="BE6" s="38"/>
      <c r="BF6" s="38"/>
      <c r="BG6" s="39"/>
    </row>
    <row r="7" spans="1:59" ht="12.75">
      <c r="A7" s="344"/>
      <c r="B7" s="344"/>
      <c r="C7" s="354"/>
      <c r="D7" s="352"/>
      <c r="E7" s="353"/>
      <c r="F7" s="354"/>
      <c r="G7" s="352" t="s">
        <v>15</v>
      </c>
      <c r="H7" s="353"/>
      <c r="I7" s="354"/>
      <c r="J7" s="355">
        <v>2015</v>
      </c>
      <c r="K7" s="356"/>
      <c r="L7" s="356"/>
      <c r="M7" s="356"/>
      <c r="O7" s="39"/>
      <c r="P7" s="65"/>
      <c r="AB7" s="33"/>
      <c r="AC7" s="33"/>
      <c r="AD7" s="33"/>
      <c r="AE7" s="39"/>
      <c r="AL7" s="39"/>
      <c r="AM7" s="33"/>
      <c r="AN7" s="33"/>
      <c r="AO7" s="33"/>
      <c r="AP7" s="33"/>
      <c r="AQ7" s="126"/>
      <c r="AR7" s="126"/>
      <c r="AS7" s="126"/>
      <c r="AT7" s="126"/>
      <c r="AV7" s="39"/>
      <c r="AW7" s="41"/>
      <c r="AX7" s="38"/>
      <c r="AY7" s="38"/>
      <c r="AZ7" s="38"/>
      <c r="BA7" s="38"/>
      <c r="BB7" s="38"/>
      <c r="BC7" s="38"/>
      <c r="BD7" s="38"/>
      <c r="BE7" s="38"/>
      <c r="BF7" s="38"/>
      <c r="BG7" s="39"/>
    </row>
    <row r="8" spans="1:59" ht="12.75">
      <c r="A8" s="347" t="s">
        <v>4</v>
      </c>
      <c r="B8" s="334"/>
      <c r="C8" s="334"/>
      <c r="D8" s="334"/>
      <c r="E8" s="334"/>
      <c r="F8" s="348"/>
      <c r="G8" s="349" t="s">
        <v>16</v>
      </c>
      <c r="H8" s="348"/>
      <c r="I8" s="349" t="s">
        <v>18</v>
      </c>
      <c r="J8" s="334"/>
      <c r="K8" s="334"/>
      <c r="L8" s="334"/>
      <c r="M8" s="334"/>
      <c r="O8" s="39"/>
      <c r="P8" s="64"/>
      <c r="AB8" s="39"/>
      <c r="AC8" s="39"/>
      <c r="AD8" s="39"/>
      <c r="AE8" s="39"/>
      <c r="AL8" s="39"/>
      <c r="AM8" s="56"/>
      <c r="AN8" s="33"/>
      <c r="AO8" s="75"/>
      <c r="AP8" s="33"/>
      <c r="AQ8" s="120"/>
      <c r="AR8" s="120"/>
      <c r="AS8" s="127"/>
      <c r="AT8" s="127"/>
      <c r="AV8" s="39"/>
      <c r="AW8" s="41"/>
      <c r="AX8" s="38"/>
      <c r="AY8" s="38"/>
      <c r="AZ8" s="38"/>
      <c r="BA8" s="38"/>
      <c r="BB8" s="38"/>
      <c r="BC8" s="38"/>
      <c r="BD8" s="38"/>
      <c r="BE8" s="38"/>
      <c r="BF8" s="38"/>
      <c r="BG8" s="39"/>
    </row>
    <row r="9" spans="1:59" ht="13.5" thickBot="1">
      <c r="A9" s="327" t="s">
        <v>92</v>
      </c>
      <c r="B9" s="328"/>
      <c r="C9" s="328"/>
      <c r="D9" s="328"/>
      <c r="E9" s="328"/>
      <c r="F9" s="285"/>
      <c r="G9" s="504" t="s">
        <v>17</v>
      </c>
      <c r="H9" s="341"/>
      <c r="I9" s="505" t="s">
        <v>99</v>
      </c>
      <c r="J9" s="506"/>
      <c r="K9" s="506"/>
      <c r="L9" s="506"/>
      <c r="M9" s="506"/>
      <c r="O9" s="191" t="str">
        <f>IF($I$9="3ST","Unsignalized three-leg (stop control on minor-road approaches)",IF($I$9="4ST","Unsignalized four-leg (stop control on minor-road approaches)","Signalized four-leg"))</f>
        <v>Unsignalized three-leg (stop control on minor-road approaches)</v>
      </c>
      <c r="P9" s="95"/>
      <c r="AB9" s="12"/>
      <c r="AC9" s="12"/>
      <c r="AD9" s="12"/>
      <c r="AE9" s="39"/>
      <c r="AL9" s="39"/>
      <c r="AM9" s="33"/>
      <c r="AN9" s="33"/>
      <c r="AO9" s="33"/>
      <c r="AP9" s="33"/>
      <c r="AQ9" s="120"/>
      <c r="AR9" s="120"/>
      <c r="AS9" s="120"/>
      <c r="AT9" s="120"/>
      <c r="AV9" s="39"/>
      <c r="AW9" s="41"/>
      <c r="AX9" s="38"/>
      <c r="AY9" s="38"/>
      <c r="AZ9" s="38"/>
      <c r="BA9" s="38"/>
      <c r="BB9" s="38"/>
      <c r="BC9" s="38"/>
      <c r="BD9" s="38"/>
      <c r="BE9" s="38"/>
      <c r="BF9" s="38"/>
      <c r="BG9" s="39"/>
    </row>
    <row r="10" spans="1:59" ht="16.5" thickBot="1">
      <c r="A10" s="327" t="s">
        <v>93</v>
      </c>
      <c r="B10" s="328"/>
      <c r="C10" s="339"/>
      <c r="D10" s="186" t="s">
        <v>460</v>
      </c>
      <c r="E10" s="187">
        <f>IF($I$9="3ST",78300,IF($I$9="4ST",78300,43500))</f>
        <v>78300</v>
      </c>
      <c r="F10" s="188" t="s">
        <v>461</v>
      </c>
      <c r="G10" s="336" t="s">
        <v>17</v>
      </c>
      <c r="H10" s="285"/>
      <c r="I10" s="337">
        <v>8000</v>
      </c>
      <c r="J10" s="338"/>
      <c r="K10" s="338"/>
      <c r="L10" s="338"/>
      <c r="M10" s="338"/>
      <c r="N10" s="189" t="str">
        <f>IF(I10&gt;E10,"AADT out of range","AADT OK")</f>
        <v>AADT OK</v>
      </c>
      <c r="O10" s="39"/>
      <c r="P10" s="95"/>
      <c r="AB10" s="12"/>
      <c r="AC10" s="12"/>
      <c r="AD10" s="12"/>
      <c r="AE10" s="39"/>
      <c r="AL10" s="39"/>
      <c r="AM10" s="76"/>
      <c r="AN10" s="52"/>
      <c r="AO10" s="75"/>
      <c r="AP10" s="33"/>
      <c r="AQ10" s="120"/>
      <c r="AR10" s="120"/>
      <c r="AS10" s="127"/>
      <c r="AT10" s="127"/>
      <c r="AV10" s="39"/>
      <c r="AW10" s="116"/>
      <c r="AX10" s="39"/>
      <c r="AY10" s="39"/>
      <c r="AZ10" s="39"/>
      <c r="BA10" s="39"/>
      <c r="BB10" s="39"/>
      <c r="BC10" s="39"/>
      <c r="BD10" s="39"/>
      <c r="BE10" s="39"/>
      <c r="BF10" s="39"/>
      <c r="BG10" s="39"/>
    </row>
    <row r="11" spans="1:59" ht="16.5" thickBot="1">
      <c r="A11" s="327" t="s">
        <v>94</v>
      </c>
      <c r="B11" s="328"/>
      <c r="C11" s="339"/>
      <c r="D11" s="186" t="s">
        <v>460</v>
      </c>
      <c r="E11" s="187">
        <f>IF($I$9="3ST",23000,IF($I$9="4ST",7400,18500))</f>
        <v>23000</v>
      </c>
      <c r="F11" s="188" t="s">
        <v>461</v>
      </c>
      <c r="G11" s="336" t="s">
        <v>17</v>
      </c>
      <c r="H11" s="285"/>
      <c r="I11" s="337">
        <v>1000</v>
      </c>
      <c r="J11" s="338"/>
      <c r="K11" s="338"/>
      <c r="L11" s="338"/>
      <c r="M11" s="338"/>
      <c r="N11" s="189" t="str">
        <f>IF(I11&gt;E11,"AADT out of range","AADT OK")</f>
        <v>AADT OK</v>
      </c>
      <c r="O11" s="39"/>
      <c r="P11" s="95"/>
      <c r="AB11" s="12"/>
      <c r="AC11" s="12"/>
      <c r="AD11" s="12"/>
      <c r="AE11" s="39"/>
      <c r="AL11" s="39"/>
      <c r="AM11" s="52"/>
      <c r="AN11" s="52"/>
      <c r="AO11" s="33"/>
      <c r="AP11" s="33"/>
      <c r="AQ11" s="120"/>
      <c r="AR11" s="120"/>
      <c r="AS11" s="120"/>
      <c r="AT11" s="120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ht="12.75">
      <c r="A12" s="327" t="s">
        <v>95</v>
      </c>
      <c r="B12" s="328"/>
      <c r="C12" s="328"/>
      <c r="D12" s="328"/>
      <c r="E12" s="328"/>
      <c r="F12" s="285"/>
      <c r="G12" s="216">
        <v>0</v>
      </c>
      <c r="H12" s="285"/>
      <c r="I12" s="337">
        <v>30</v>
      </c>
      <c r="J12" s="455"/>
      <c r="K12" s="455"/>
      <c r="L12" s="455"/>
      <c r="M12" s="455"/>
      <c r="O12" s="192" t="s">
        <v>470</v>
      </c>
      <c r="P12" s="95"/>
      <c r="AB12" s="12"/>
      <c r="AC12" s="12"/>
      <c r="AD12" s="12"/>
      <c r="AE12" s="39"/>
      <c r="AL12" s="39"/>
      <c r="AM12" s="52"/>
      <c r="AN12" s="52"/>
      <c r="AO12" s="75"/>
      <c r="AP12" s="38"/>
      <c r="AQ12" s="38"/>
      <c r="AR12" s="38"/>
      <c r="AS12" s="38"/>
      <c r="AT12" s="38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</row>
    <row r="13" spans="1:59" ht="12.75">
      <c r="A13" s="327" t="s">
        <v>234</v>
      </c>
      <c r="B13" s="328"/>
      <c r="C13" s="328"/>
      <c r="D13" s="328"/>
      <c r="E13" s="328"/>
      <c r="F13" s="285"/>
      <c r="G13" s="329">
        <v>0</v>
      </c>
      <c r="H13" s="285"/>
      <c r="I13" s="330">
        <v>1</v>
      </c>
      <c r="J13" s="331"/>
      <c r="K13" s="331"/>
      <c r="L13" s="331"/>
      <c r="M13" s="331"/>
      <c r="O13" s="39"/>
      <c r="P13" s="95"/>
      <c r="AB13" s="12"/>
      <c r="AC13" s="12"/>
      <c r="AD13" s="12"/>
      <c r="AE13" s="39"/>
      <c r="AL13" s="39"/>
      <c r="AM13" s="114"/>
      <c r="AN13" s="114"/>
      <c r="AO13" s="107"/>
      <c r="AP13" s="107"/>
      <c r="AQ13" s="107"/>
      <c r="AR13" s="107"/>
      <c r="AS13" s="107"/>
      <c r="AT13" s="107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1:59" ht="12.75">
      <c r="A14" s="327" t="s">
        <v>395</v>
      </c>
      <c r="B14" s="328"/>
      <c r="C14" s="328"/>
      <c r="D14" s="328"/>
      <c r="E14" s="328"/>
      <c r="F14" s="285"/>
      <c r="G14" s="216">
        <v>0</v>
      </c>
      <c r="H14" s="285"/>
      <c r="I14" s="335">
        <v>0</v>
      </c>
      <c r="J14" s="331"/>
      <c r="K14" s="331"/>
      <c r="L14" s="331"/>
      <c r="M14" s="331"/>
      <c r="O14" s="39"/>
      <c r="P14" s="95"/>
      <c r="AB14" s="12"/>
      <c r="AC14" s="12"/>
      <c r="AD14" s="12"/>
      <c r="AE14" s="39"/>
      <c r="AL14" s="39"/>
      <c r="AM14" s="107"/>
      <c r="AN14" s="107"/>
      <c r="AO14" s="107"/>
      <c r="AP14" s="107"/>
      <c r="AQ14" s="107"/>
      <c r="AR14" s="107"/>
      <c r="AS14" s="107"/>
      <c r="AT14" s="107"/>
      <c r="AV14" s="39"/>
      <c r="AW14" s="41"/>
      <c r="AX14" s="39"/>
      <c r="AY14" s="39"/>
      <c r="AZ14" s="39"/>
      <c r="BA14" s="38"/>
      <c r="BB14" s="39"/>
      <c r="BC14" s="39"/>
      <c r="BD14" s="39"/>
      <c r="BE14" s="39"/>
      <c r="BF14" s="39"/>
      <c r="BG14" s="39"/>
    </row>
    <row r="15" spans="1:59" ht="12.75">
      <c r="A15" s="327" t="s">
        <v>96</v>
      </c>
      <c r="B15" s="328"/>
      <c r="C15" s="328"/>
      <c r="D15" s="328"/>
      <c r="E15" s="328"/>
      <c r="F15" s="285"/>
      <c r="G15" s="332" t="s">
        <v>72</v>
      </c>
      <c r="H15" s="285"/>
      <c r="I15" s="330" t="s">
        <v>73</v>
      </c>
      <c r="J15" s="331"/>
      <c r="K15" s="331"/>
      <c r="L15" s="331"/>
      <c r="M15" s="331"/>
      <c r="O15" s="39"/>
      <c r="P15" s="95"/>
      <c r="AB15" s="12"/>
      <c r="AC15" s="12"/>
      <c r="AD15" s="12"/>
      <c r="AE15" s="39"/>
      <c r="AL15" s="39"/>
      <c r="AM15" s="107"/>
      <c r="AN15" s="114"/>
      <c r="AO15" s="107"/>
      <c r="AP15" s="107"/>
      <c r="AQ15" s="107"/>
      <c r="AR15" s="107"/>
      <c r="AS15" s="107"/>
      <c r="AT15" s="107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</row>
    <row r="16" spans="1:59" ht="16.5" thickBot="1">
      <c r="A16" s="501" t="s">
        <v>97</v>
      </c>
      <c r="B16" s="321"/>
      <c r="C16" s="321"/>
      <c r="D16" s="321"/>
      <c r="E16" s="321"/>
      <c r="F16" s="322"/>
      <c r="G16" s="323">
        <v>1</v>
      </c>
      <c r="H16" s="324"/>
      <c r="I16" s="502">
        <v>1</v>
      </c>
      <c r="J16" s="503"/>
      <c r="K16" s="503"/>
      <c r="L16" s="503"/>
      <c r="M16" s="503"/>
      <c r="O16" s="39"/>
      <c r="P16" s="93"/>
      <c r="AB16" s="12"/>
      <c r="AC16" s="12"/>
      <c r="AD16" s="12"/>
      <c r="AE16" s="39"/>
      <c r="AL16" s="39"/>
      <c r="AM16" s="107"/>
      <c r="AN16" s="107"/>
      <c r="AO16" s="107"/>
      <c r="AP16" s="107"/>
      <c r="AQ16" s="107"/>
      <c r="AR16" s="107"/>
      <c r="AS16" s="107"/>
      <c r="AT16" s="107"/>
      <c r="AV16" s="39"/>
      <c r="AW16" s="41"/>
      <c r="AX16" s="39"/>
      <c r="AY16" s="39"/>
      <c r="AZ16" s="39"/>
      <c r="BA16" s="38"/>
      <c r="BB16" s="39"/>
      <c r="BC16" s="39"/>
      <c r="BD16" s="39"/>
      <c r="BE16" s="39"/>
      <c r="BF16" s="39"/>
      <c r="BG16" s="39"/>
    </row>
    <row r="17" spans="1:59" ht="13.5" thickTop="1">
      <c r="A17" s="31"/>
      <c r="B17" s="31"/>
      <c r="C17" s="31"/>
      <c r="D17" s="31"/>
      <c r="E17" s="31"/>
      <c r="F17" s="31"/>
      <c r="G17" s="42"/>
      <c r="H17" s="43"/>
      <c r="I17" s="44"/>
      <c r="J17" s="45"/>
      <c r="K17" s="45"/>
      <c r="L17" s="45"/>
      <c r="M17" s="45"/>
      <c r="O17" s="39"/>
      <c r="P17" s="92"/>
      <c r="AB17" s="12"/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ht="13.5" thickBot="1">
      <c r="A18" s="39"/>
      <c r="B18" s="39"/>
      <c r="C18" s="39"/>
      <c r="D18" s="39"/>
      <c r="E18" s="39"/>
      <c r="F18" s="39"/>
      <c r="G18" s="33"/>
      <c r="H18" s="39"/>
      <c r="I18" s="33"/>
      <c r="J18" s="39"/>
      <c r="K18" s="39"/>
      <c r="L18" s="39"/>
      <c r="M18" s="39"/>
      <c r="O18" s="39"/>
      <c r="P18" s="91"/>
      <c r="AB18" s="33"/>
      <c r="AC18" s="33"/>
      <c r="AD18" s="33"/>
      <c r="AE18" s="33"/>
      <c r="AF18" s="33"/>
      <c r="AG18" s="33"/>
      <c r="AH18" s="33"/>
      <c r="AI18" s="33"/>
      <c r="AJ18" s="33"/>
      <c r="AK18" s="39"/>
      <c r="AL18" s="39"/>
      <c r="AM18" s="62"/>
      <c r="AN18" s="62"/>
      <c r="AO18" s="62"/>
      <c r="AP18" s="62"/>
      <c r="AQ18" s="62"/>
      <c r="AR18" s="33"/>
      <c r="AS18" s="33"/>
      <c r="AT18" s="33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ht="14.25" thickBot="1" thickTop="1">
      <c r="A19" s="229" t="s">
        <v>214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O19" s="39"/>
      <c r="P19" s="62"/>
      <c r="AB19" s="33"/>
      <c r="AC19" s="33"/>
      <c r="AD19" s="33"/>
      <c r="AE19" s="33"/>
      <c r="AF19" s="33"/>
      <c r="AG19" s="33"/>
      <c r="AH19" s="33"/>
      <c r="AI19" s="33"/>
      <c r="AJ19" s="33"/>
      <c r="AK19" s="39"/>
      <c r="AL19" s="39"/>
      <c r="AM19" s="62"/>
      <c r="AN19" s="62"/>
      <c r="AO19" s="62"/>
      <c r="AP19" s="62"/>
      <c r="AQ19" s="62"/>
      <c r="AR19" s="33"/>
      <c r="AS19" s="33"/>
      <c r="AT19" s="33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59" ht="12.75">
      <c r="A20" s="478" t="s">
        <v>19</v>
      </c>
      <c r="B20" s="479"/>
      <c r="C20" s="488" t="s">
        <v>20</v>
      </c>
      <c r="D20" s="473"/>
      <c r="E20" s="277"/>
      <c r="F20" s="232" t="s">
        <v>21</v>
      </c>
      <c r="G20" s="231"/>
      <c r="H20" s="488" t="s">
        <v>22</v>
      </c>
      <c r="I20" s="277"/>
      <c r="J20" s="488" t="s">
        <v>23</v>
      </c>
      <c r="K20" s="277"/>
      <c r="L20" s="232" t="s">
        <v>24</v>
      </c>
      <c r="M20" s="235"/>
      <c r="O20" s="39"/>
      <c r="P20" s="64"/>
      <c r="AB20" s="91"/>
      <c r="AC20" s="91"/>
      <c r="AD20" s="91"/>
      <c r="AE20" s="91"/>
      <c r="AF20" s="91"/>
      <c r="AG20" s="91"/>
      <c r="AH20" s="91"/>
      <c r="AI20" s="91"/>
      <c r="AJ20" s="91"/>
      <c r="AK20" s="39"/>
      <c r="AL20" s="39"/>
      <c r="AM20" s="62"/>
      <c r="AN20" s="62"/>
      <c r="AO20" s="62"/>
      <c r="AP20" s="33"/>
      <c r="AQ20" s="62"/>
      <c r="AR20" s="33"/>
      <c r="AS20" s="33"/>
      <c r="AT20" s="33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</row>
    <row r="21" spans="1:59" ht="15.75">
      <c r="A21" s="480" t="s">
        <v>36</v>
      </c>
      <c r="B21" s="481"/>
      <c r="C21" s="477" t="s">
        <v>216</v>
      </c>
      <c r="D21" s="491"/>
      <c r="E21" s="492"/>
      <c r="F21" s="474" t="s">
        <v>105</v>
      </c>
      <c r="G21" s="475"/>
      <c r="H21" s="477" t="s">
        <v>106</v>
      </c>
      <c r="I21" s="354"/>
      <c r="J21" s="477" t="s">
        <v>33</v>
      </c>
      <c r="K21" s="354"/>
      <c r="L21" s="458" t="s">
        <v>393</v>
      </c>
      <c r="M21" s="459"/>
      <c r="O21" s="39"/>
      <c r="P21" s="39"/>
      <c r="AB21" s="60"/>
      <c r="AC21" s="60"/>
      <c r="AD21" s="60"/>
      <c r="AE21" s="60"/>
      <c r="AF21" s="60"/>
      <c r="AG21" s="60"/>
      <c r="AH21" s="60"/>
      <c r="AI21" s="60"/>
      <c r="AJ21" s="60"/>
      <c r="AK21" s="39"/>
      <c r="AL21" s="39"/>
      <c r="AM21" s="62"/>
      <c r="AN21" s="62"/>
      <c r="AO21" s="33"/>
      <c r="AP21" s="33"/>
      <c r="AQ21" s="33"/>
      <c r="AR21" s="33"/>
      <c r="AS21" s="33"/>
      <c r="AT21" s="3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ht="15.75">
      <c r="A22" s="437"/>
      <c r="B22" s="482"/>
      <c r="C22" s="458" t="s">
        <v>217</v>
      </c>
      <c r="D22" s="459"/>
      <c r="E22" s="493"/>
      <c r="F22" s="474" t="s">
        <v>390</v>
      </c>
      <c r="G22" s="475"/>
      <c r="H22" s="477" t="s">
        <v>391</v>
      </c>
      <c r="I22" s="354"/>
      <c r="J22" s="477" t="s">
        <v>392</v>
      </c>
      <c r="K22" s="354"/>
      <c r="L22" s="460"/>
      <c r="M22" s="437"/>
      <c r="O22" s="39"/>
      <c r="P22" s="39"/>
      <c r="AB22" s="60"/>
      <c r="AC22" s="60"/>
      <c r="AD22" s="60"/>
      <c r="AE22" s="60"/>
      <c r="AF22" s="60"/>
      <c r="AG22" s="60"/>
      <c r="AH22" s="60"/>
      <c r="AI22" s="60"/>
      <c r="AJ22" s="60"/>
      <c r="AK22" s="39"/>
      <c r="AL22" s="39"/>
      <c r="AM22" s="33"/>
      <c r="AN22" s="33"/>
      <c r="AO22" s="33"/>
      <c r="AP22" s="33"/>
      <c r="AQ22" s="125"/>
      <c r="AR22" s="125"/>
      <c r="AS22" s="125"/>
      <c r="AT22" s="125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46" ht="12.75">
      <c r="A23" s="483"/>
      <c r="B23" s="484"/>
      <c r="C23" s="460"/>
      <c r="D23" s="494"/>
      <c r="E23" s="482"/>
      <c r="F23" s="474" t="s">
        <v>446</v>
      </c>
      <c r="G23" s="475"/>
      <c r="H23" s="477" t="s">
        <v>447</v>
      </c>
      <c r="I23" s="354"/>
      <c r="J23" s="477" t="s">
        <v>394</v>
      </c>
      <c r="K23" s="354"/>
      <c r="L23" s="499" t="s">
        <v>215</v>
      </c>
      <c r="M23" s="500"/>
      <c r="O23" s="39"/>
      <c r="P23" s="39"/>
      <c r="AB23" s="96"/>
      <c r="AC23" s="96"/>
      <c r="AD23" s="96"/>
      <c r="AE23" s="96"/>
      <c r="AF23" s="96"/>
      <c r="AG23" s="96"/>
      <c r="AH23" s="96"/>
      <c r="AI23" s="96"/>
      <c r="AJ23" s="96"/>
      <c r="AK23" s="39"/>
      <c r="AL23" s="39"/>
      <c r="AM23" s="33"/>
      <c r="AN23" s="33"/>
      <c r="AO23" s="33"/>
      <c r="AP23" s="33"/>
      <c r="AQ23" s="126"/>
      <c r="AR23" s="126"/>
      <c r="AS23" s="126"/>
      <c r="AT23" s="126"/>
    </row>
    <row r="24" spans="1:46" ht="12.75">
      <c r="A24" s="486" t="s">
        <v>39</v>
      </c>
      <c r="B24" s="487"/>
      <c r="C24" s="476">
        <f>IF($I$9="4SG","--",IF($I$9="3ST",(((0.016*$I$12)/(0.98+0.016*$I$12))+1),(((0.053*$I$12)/(1.43+0.053*$I$12))+1)))</f>
        <v>1.3287671232876712</v>
      </c>
      <c r="D24" s="485"/>
      <c r="E24" s="485"/>
      <c r="F24" s="476">
        <f>IF($I$9="4SG","--",IF($I$13=0,1,IF($I$9="3ST",0.56,(IF($I$13=1,0.72,0.52)))))</f>
        <v>0.56</v>
      </c>
      <c r="G24" s="476"/>
      <c r="H24" s="476">
        <f>IF($I$9="4SG","--",IF($I$14=0,1,IF($I$9="3ST",0.86,(IF($I$14=1,0.86,0.74)))))</f>
        <v>1</v>
      </c>
      <c r="I24" s="476"/>
      <c r="J24" s="476">
        <f>IF($I$9="4SG","--",(IF(($I$15="Not Present"),1,(1-0.38*(IF($I$9="3ST",(IF('Intersection Tables'!D40="No",'Intersection Tables'!G44,'Intersection Tables'!K44)),(IF('Intersection Tables'!D40="No",'Intersection Tables'!G45,'Intersection Tables'!K45))))))))</f>
        <v>0.89512</v>
      </c>
      <c r="K24" s="490"/>
      <c r="L24" s="476">
        <f>IF($I$9="4SG",1,C24*F24*H24*J24)</f>
        <v>0.6660673753424659</v>
      </c>
      <c r="M24" s="498"/>
      <c r="O24" s="39"/>
      <c r="P24" s="65"/>
      <c r="AB24" s="97"/>
      <c r="AC24" s="97"/>
      <c r="AD24" s="97"/>
      <c r="AE24" s="97"/>
      <c r="AF24" s="97"/>
      <c r="AG24" s="97"/>
      <c r="AH24" s="97"/>
      <c r="AI24" s="97"/>
      <c r="AJ24" s="97"/>
      <c r="AK24" s="39"/>
      <c r="AL24" s="39"/>
      <c r="AM24" s="56"/>
      <c r="AN24" s="33"/>
      <c r="AO24" s="75"/>
      <c r="AP24" s="33"/>
      <c r="AQ24" s="120"/>
      <c r="AR24" s="120"/>
      <c r="AS24" s="127"/>
      <c r="AT24" s="127"/>
    </row>
    <row r="25" spans="1:46" ht="13.5" thickBot="1">
      <c r="A25" s="468" t="s">
        <v>40</v>
      </c>
      <c r="B25" s="469"/>
      <c r="C25" s="430">
        <f>IF($I$9="4SG","--",IF($I$9="3ST",(((0.017*$I$12)/(0.52+0.017*$I$12))+1),(((0.048*$I$12)/(0.72+0.048*$I$12))+1)))</f>
        <v>1.4951456310679612</v>
      </c>
      <c r="D25" s="470"/>
      <c r="E25" s="470"/>
      <c r="F25" s="430">
        <f>IF($I$9="4SG","--",IF($I$13=0,1,IF($I$9="3ST",0.45,(IF($I$13=1,0.65,0.42)))))</f>
        <v>0.45</v>
      </c>
      <c r="G25" s="430"/>
      <c r="H25" s="430">
        <f>IF($I$9="4SG","--",IF($I$14=0,1,IF($I$9="3ST",0.77,(IF($I$14=1,0.77,0.59)))))</f>
        <v>1</v>
      </c>
      <c r="I25" s="430"/>
      <c r="J25" s="430">
        <f>IF($I$9="4SG","--",(IF(($I$15="Not Present"),1,(1-0.38*(IF($I$9="3ST",(IF('Intersection Tables'!$D$40="No",'Intersection Tables'!$G$44,'Intersection Tables'!$K$44)),(IF('Intersection Tables'!$D$40="No",'Intersection Tables'!$G$45,'Intersection Tables'!$K$45))))))))</f>
        <v>0.89512</v>
      </c>
      <c r="K25" s="471"/>
      <c r="L25" s="430">
        <f>IF($I$9="4SG",1,C25*F25*H25*J25)</f>
        <v>0.6022506407766991</v>
      </c>
      <c r="M25" s="295"/>
      <c r="O25" s="39"/>
      <c r="P25" s="62"/>
      <c r="AB25" s="62"/>
      <c r="AC25" s="33"/>
      <c r="AD25" s="33"/>
      <c r="AE25" s="33"/>
      <c r="AF25" s="33"/>
      <c r="AG25" s="33"/>
      <c r="AH25" s="33"/>
      <c r="AI25" s="33"/>
      <c r="AJ25" s="33"/>
      <c r="AK25" s="39"/>
      <c r="AL25" s="39"/>
      <c r="AM25" s="33"/>
      <c r="AN25" s="33"/>
      <c r="AO25" s="33"/>
      <c r="AP25" s="33"/>
      <c r="AQ25" s="120"/>
      <c r="AR25" s="120"/>
      <c r="AS25" s="120"/>
      <c r="AT25" s="120"/>
    </row>
    <row r="26" spans="1:46" ht="12.75">
      <c r="A26" s="495" t="s">
        <v>411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O26" s="39"/>
      <c r="P26" s="62"/>
      <c r="AB26" s="62"/>
      <c r="AC26" s="33"/>
      <c r="AD26" s="33"/>
      <c r="AE26" s="33"/>
      <c r="AF26" s="33"/>
      <c r="AG26" s="33"/>
      <c r="AH26" s="33"/>
      <c r="AI26" s="33"/>
      <c r="AJ26" s="33"/>
      <c r="AK26" s="39"/>
      <c r="AL26" s="39"/>
      <c r="AM26" s="33"/>
      <c r="AN26" s="33"/>
      <c r="AO26" s="33"/>
      <c r="AP26" s="33"/>
      <c r="AQ26" s="120"/>
      <c r="AR26" s="120"/>
      <c r="AS26" s="120"/>
      <c r="AT26" s="120"/>
    </row>
    <row r="27" spans="1:46" ht="12.75">
      <c r="A27" s="38"/>
      <c r="B27" s="38"/>
      <c r="C27" s="38"/>
      <c r="D27" s="38"/>
      <c r="E27" s="38"/>
      <c r="F27" s="38"/>
      <c r="G27" s="38"/>
      <c r="H27" s="39"/>
      <c r="I27" s="38"/>
      <c r="J27" s="47"/>
      <c r="K27" s="47"/>
      <c r="L27" s="39"/>
      <c r="M27" s="39"/>
      <c r="O27" s="39"/>
      <c r="P27" s="62"/>
      <c r="AB27" s="62"/>
      <c r="AC27" s="33"/>
      <c r="AD27" s="33"/>
      <c r="AE27" s="33"/>
      <c r="AF27" s="33"/>
      <c r="AG27" s="33"/>
      <c r="AH27" s="33"/>
      <c r="AI27" s="33"/>
      <c r="AJ27" s="33"/>
      <c r="AK27" s="39"/>
      <c r="AL27" s="39"/>
      <c r="AM27" s="33"/>
      <c r="AN27" s="33"/>
      <c r="AO27" s="33"/>
      <c r="AP27" s="33"/>
      <c r="AQ27" s="120"/>
      <c r="AR27" s="120"/>
      <c r="AS27" s="120"/>
      <c r="AT27" s="120"/>
    </row>
    <row r="28" spans="1:46" ht="13.5" thickBot="1">
      <c r="A28" s="41"/>
      <c r="B28" s="39"/>
      <c r="C28" s="39"/>
      <c r="D28" s="39"/>
      <c r="E28" s="39"/>
      <c r="F28" s="39"/>
      <c r="G28" s="38"/>
      <c r="H28" s="47"/>
      <c r="I28" s="38"/>
      <c r="J28" s="39"/>
      <c r="K28" s="39"/>
      <c r="L28" s="39"/>
      <c r="M28" s="39"/>
      <c r="O28" s="39"/>
      <c r="P28" s="92"/>
      <c r="AB28" s="12"/>
      <c r="AC28" s="12"/>
      <c r="AD28" s="12"/>
      <c r="AE28" s="12"/>
      <c r="AF28" s="12"/>
      <c r="AG28" s="12"/>
      <c r="AH28" s="12"/>
      <c r="AI28" s="12"/>
      <c r="AJ28" s="12"/>
      <c r="AK28" s="39"/>
      <c r="AL28" s="39"/>
      <c r="AM28" s="76"/>
      <c r="AN28" s="52"/>
      <c r="AO28" s="75"/>
      <c r="AP28" s="33"/>
      <c r="AQ28" s="120"/>
      <c r="AR28" s="120"/>
      <c r="AS28" s="127"/>
      <c r="AT28" s="127"/>
    </row>
    <row r="29" spans="1:46" ht="14.25" thickBot="1" thickTop="1">
      <c r="A29" s="229" t="s">
        <v>218</v>
      </c>
      <c r="B29" s="274"/>
      <c r="C29" s="274"/>
      <c r="D29" s="274"/>
      <c r="E29" s="274"/>
      <c r="F29" s="274"/>
      <c r="G29" s="274"/>
      <c r="H29" s="274"/>
      <c r="I29" s="302"/>
      <c r="J29" s="302"/>
      <c r="K29" s="302"/>
      <c r="L29" s="302"/>
      <c r="M29" s="302"/>
      <c r="O29" s="39"/>
      <c r="P29" s="92"/>
      <c r="AB29" s="12"/>
      <c r="AC29" s="12"/>
      <c r="AD29" s="12"/>
      <c r="AE29" s="12"/>
      <c r="AF29" s="12"/>
      <c r="AG29" s="12"/>
      <c r="AH29" s="12"/>
      <c r="AI29" s="12"/>
      <c r="AJ29" s="12"/>
      <c r="AK29" s="39"/>
      <c r="AL29" s="39"/>
      <c r="AM29" s="52"/>
      <c r="AN29" s="52"/>
      <c r="AO29" s="33"/>
      <c r="AP29" s="33"/>
      <c r="AQ29" s="120"/>
      <c r="AR29" s="120"/>
      <c r="AS29" s="120"/>
      <c r="AT29" s="120"/>
    </row>
    <row r="30" spans="1:46" ht="12.75">
      <c r="A30" s="279" t="s">
        <v>19</v>
      </c>
      <c r="B30" s="303"/>
      <c r="C30" s="304" t="s">
        <v>20</v>
      </c>
      <c r="D30" s="304"/>
      <c r="E30" s="303"/>
      <c r="F30" s="299" t="s">
        <v>21</v>
      </c>
      <c r="G30" s="303"/>
      <c r="H30" s="278" t="s">
        <v>22</v>
      </c>
      <c r="I30" s="489"/>
      <c r="J30" s="2" t="s">
        <v>23</v>
      </c>
      <c r="K30" s="2" t="s">
        <v>24</v>
      </c>
      <c r="L30" s="278" t="s">
        <v>25</v>
      </c>
      <c r="M30" s="473"/>
      <c r="O30" s="39"/>
      <c r="P30" s="92"/>
      <c r="AB30" s="12"/>
      <c r="AC30" s="12"/>
      <c r="AD30" s="12"/>
      <c r="AE30" s="12"/>
      <c r="AF30" s="12"/>
      <c r="AG30" s="12"/>
      <c r="AH30" s="12"/>
      <c r="AI30" s="12"/>
      <c r="AJ30" s="12"/>
      <c r="AK30" s="39"/>
      <c r="AL30" s="39"/>
      <c r="AM30" s="52"/>
      <c r="AN30" s="52"/>
      <c r="AO30" s="75"/>
      <c r="AP30" s="38"/>
      <c r="AQ30" s="38"/>
      <c r="AR30" s="38"/>
      <c r="AS30" s="38"/>
      <c r="AT30" s="38"/>
    </row>
    <row r="31" spans="1:46" ht="12.75" customHeight="1">
      <c r="A31" s="260" t="s">
        <v>36</v>
      </c>
      <c r="B31" s="247"/>
      <c r="C31" s="301" t="s">
        <v>145</v>
      </c>
      <c r="D31" s="242"/>
      <c r="E31" s="242"/>
      <c r="F31" s="256" t="s">
        <v>219</v>
      </c>
      <c r="G31" s="210"/>
      <c r="H31" s="445" t="s">
        <v>37</v>
      </c>
      <c r="I31" s="446"/>
      <c r="J31" s="24" t="s">
        <v>38</v>
      </c>
      <c r="K31" s="256" t="s">
        <v>222</v>
      </c>
      <c r="L31" s="445" t="s">
        <v>223</v>
      </c>
      <c r="M31" s="452"/>
      <c r="O31" s="39"/>
      <c r="P31" s="92"/>
      <c r="AB31" s="12"/>
      <c r="AC31" s="12"/>
      <c r="AD31" s="12"/>
      <c r="AE31" s="12"/>
      <c r="AF31" s="12"/>
      <c r="AG31" s="12"/>
      <c r="AH31" s="12"/>
      <c r="AI31" s="12"/>
      <c r="AJ31" s="12"/>
      <c r="AK31" s="39"/>
      <c r="AL31" s="39"/>
      <c r="AM31" s="114"/>
      <c r="AN31" s="114"/>
      <c r="AO31" s="107"/>
      <c r="AP31" s="107"/>
      <c r="AQ31" s="107"/>
      <c r="AR31" s="107"/>
      <c r="AS31" s="107"/>
      <c r="AT31" s="107"/>
    </row>
    <row r="32" spans="1:46" ht="15" customHeight="1">
      <c r="A32" s="285"/>
      <c r="B32" s="247"/>
      <c r="C32" s="290" t="s">
        <v>448</v>
      </c>
      <c r="D32" s="210"/>
      <c r="E32" s="210"/>
      <c r="F32" s="247"/>
      <c r="G32" s="247"/>
      <c r="H32" s="447"/>
      <c r="I32" s="448"/>
      <c r="J32" s="449" t="s">
        <v>221</v>
      </c>
      <c r="K32" s="210"/>
      <c r="L32" s="320"/>
      <c r="M32" s="453"/>
      <c r="O32" s="39"/>
      <c r="P32" s="92"/>
      <c r="AB32" s="12"/>
      <c r="AC32" s="12"/>
      <c r="AD32" s="12"/>
      <c r="AE32" s="12"/>
      <c r="AF32" s="12"/>
      <c r="AG32" s="12"/>
      <c r="AH32" s="12"/>
      <c r="AI32" s="12"/>
      <c r="AJ32" s="12"/>
      <c r="AK32" s="39"/>
      <c r="AL32" s="39"/>
      <c r="AM32" s="46"/>
      <c r="AN32" s="107"/>
      <c r="AO32" s="107"/>
      <c r="AP32" s="107"/>
      <c r="AQ32" s="107"/>
      <c r="AR32" s="107"/>
      <c r="AS32" s="107"/>
      <c r="AT32" s="107"/>
    </row>
    <row r="33" spans="1:46" ht="13.5" customHeight="1">
      <c r="A33" s="285"/>
      <c r="B33" s="247"/>
      <c r="C33" s="78" t="s">
        <v>146</v>
      </c>
      <c r="D33" s="78" t="s">
        <v>147</v>
      </c>
      <c r="E33" s="78" t="s">
        <v>237</v>
      </c>
      <c r="F33" s="293" t="s">
        <v>220</v>
      </c>
      <c r="G33" s="294"/>
      <c r="H33" s="472" t="s">
        <v>448</v>
      </c>
      <c r="I33" s="285"/>
      <c r="J33" s="450"/>
      <c r="K33" s="210"/>
      <c r="L33" s="451" t="s">
        <v>152</v>
      </c>
      <c r="M33" s="209"/>
      <c r="O33" s="39"/>
      <c r="P33" s="92"/>
      <c r="AB33" s="12"/>
      <c r="AC33" s="12"/>
      <c r="AD33" s="12"/>
      <c r="AE33" s="12"/>
      <c r="AF33" s="12"/>
      <c r="AG33" s="12"/>
      <c r="AH33" s="12"/>
      <c r="AI33" s="12"/>
      <c r="AJ33" s="12"/>
      <c r="AK33" s="39"/>
      <c r="AL33" s="39"/>
      <c r="AM33" s="128"/>
      <c r="AN33" s="114"/>
      <c r="AO33" s="107"/>
      <c r="AP33" s="107"/>
      <c r="AQ33" s="107"/>
      <c r="AR33" s="107"/>
      <c r="AS33" s="107"/>
      <c r="AT33" s="107"/>
    </row>
    <row r="34" spans="1:46" ht="12.75">
      <c r="A34" s="285" t="s">
        <v>39</v>
      </c>
      <c r="B34" s="247"/>
      <c r="C34" s="79">
        <f>IF($I$9="3ST",-12.526,(IF($I$9="4ST",-10.008,-7.182)))</f>
        <v>-12.526</v>
      </c>
      <c r="D34" s="79">
        <f>IF($I$9="3ST",1.204,(IF($I$9="4ST",0.848,0.722)))</f>
        <v>1.204</v>
      </c>
      <c r="E34" s="79">
        <f>IF($I$9="3ST",0.236,(IF($I$9="4ST",0.448,0.337)))</f>
        <v>0.236</v>
      </c>
      <c r="F34" s="248">
        <f>EXP($C$34+$D$34*LN($I$10)+$E$34*LN($I$11))</f>
        <v>0.9275720717921282</v>
      </c>
      <c r="G34" s="249"/>
      <c r="H34" s="248">
        <f>IF($I$9="3ST",0.46,(IF($I$9="4ST",0.494,0.277)))</f>
        <v>0.46</v>
      </c>
      <c r="I34" s="197"/>
      <c r="J34" s="109">
        <f>+$L$24</f>
        <v>0.6660673753424659</v>
      </c>
      <c r="K34" s="80">
        <f>+$I$16</f>
        <v>1</v>
      </c>
      <c r="L34" s="248">
        <f>+$F$34*$J$34*$K$34</f>
        <v>0.6178254952995561</v>
      </c>
      <c r="M34" s="209"/>
      <c r="O34" s="39"/>
      <c r="P34" s="92"/>
      <c r="AB34" s="12"/>
      <c r="AC34" s="12"/>
      <c r="AD34" s="12"/>
      <c r="AE34" s="12"/>
      <c r="AF34" s="12"/>
      <c r="AG34" s="12"/>
      <c r="AH34" s="12"/>
      <c r="AI34" s="12"/>
      <c r="AJ34" s="12"/>
      <c r="AK34" s="39"/>
      <c r="AL34" s="39"/>
      <c r="AM34" s="107"/>
      <c r="AN34" s="107"/>
      <c r="AO34" s="107"/>
      <c r="AP34" s="107"/>
      <c r="AQ34" s="107"/>
      <c r="AR34" s="107"/>
      <c r="AS34" s="107"/>
      <c r="AT34" s="107"/>
    </row>
    <row r="35" spans="1:46" ht="12.75">
      <c r="A35" s="285" t="s">
        <v>40</v>
      </c>
      <c r="B35" s="247"/>
      <c r="C35" s="79">
        <f>IF($I$9="3ST",-12.664,(IF($I$9="4ST",-11.554,-6.393)))</f>
        <v>-12.664</v>
      </c>
      <c r="D35" s="79">
        <f>IF($I$9="3ST",1.107,(IF($I$9="4ST",0.888,0.638)))</f>
        <v>1.107</v>
      </c>
      <c r="E35" s="79">
        <f>IF($I$9="3ST",0.272,(IF($I$9="4ST",0.525,0.232)))</f>
        <v>0.272</v>
      </c>
      <c r="F35" s="248">
        <f>EXP($C$35+$D$35*LN($I$10)+$E$35*LN($I$11))</f>
        <v>0.43332654762764167</v>
      </c>
      <c r="G35" s="249"/>
      <c r="H35" s="248">
        <f>IF($I$9="3ST",0.569,(IF($I$9="4ST",0.742,0.218)))</f>
        <v>0.569</v>
      </c>
      <c r="I35" s="197"/>
      <c r="J35" s="109">
        <f>+$L$25</f>
        <v>0.6022506407766991</v>
      </c>
      <c r="K35" s="80">
        <f>+$I$16</f>
        <v>1</v>
      </c>
      <c r="L35" s="248">
        <f>+$F$35*$J$35*$K$35</f>
        <v>0.260971190974302</v>
      </c>
      <c r="M35" s="209"/>
      <c r="O35" s="39"/>
      <c r="P35" s="91"/>
      <c r="AB35" s="62"/>
      <c r="AC35" s="62"/>
      <c r="AD35" s="62"/>
      <c r="AE35" s="62"/>
      <c r="AF35" s="62"/>
      <c r="AG35" s="62"/>
      <c r="AH35" s="62"/>
      <c r="AI35" s="62"/>
      <c r="AJ35" s="62"/>
      <c r="AK35" s="39"/>
      <c r="AL35" s="39"/>
      <c r="AM35" s="107"/>
      <c r="AN35" s="107"/>
      <c r="AO35" s="107"/>
      <c r="AP35" s="107"/>
      <c r="AQ35" s="107"/>
      <c r="AR35" s="107"/>
      <c r="AS35" s="107"/>
      <c r="AT35" s="107"/>
    </row>
    <row r="36" spans="1:46" ht="14.25">
      <c r="A36" s="287" t="s">
        <v>153</v>
      </c>
      <c r="B36" s="247"/>
      <c r="C36" s="79">
        <f>IF($I$9="3ST",-11.989,(IF($I$9="4ST",-10.734,-12.011)))</f>
        <v>-11.989</v>
      </c>
      <c r="D36" s="79">
        <f>IF($I$9="3ST",1.013,(IF($I$9="4ST",0.828,"--")))</f>
        <v>1.013</v>
      </c>
      <c r="E36" s="79">
        <f>IF($I$9="3ST",0.228,(IF($I$9="4ST",0.412,1.279)))</f>
        <v>0.228</v>
      </c>
      <c r="F36" s="248">
        <f>IF(I9="4SG",(EXP(C36+E36*LN(I10+I11))),(EXP($C$36+$D$36*LN($I$10)+$E$36*LN($I$11))))</f>
        <v>0.269819674033345</v>
      </c>
      <c r="G36" s="249"/>
      <c r="H36" s="248">
        <f>IF($I$9="3ST",0.566,(IF($I$9="4ST",0.655,0.566)))</f>
        <v>0.566</v>
      </c>
      <c r="I36" s="197"/>
      <c r="J36" s="109">
        <f>+$L$25</f>
        <v>0.6022506407766991</v>
      </c>
      <c r="K36" s="80">
        <f>+$I$16</f>
        <v>1</v>
      </c>
      <c r="L36" s="248">
        <f>+$F$36*$J$36*$K$36</f>
        <v>0.16249907158074212</v>
      </c>
      <c r="M36" s="209"/>
      <c r="O36" s="39"/>
      <c r="P36" s="92"/>
      <c r="AB36" s="12"/>
      <c r="AC36" s="12"/>
      <c r="AD36" s="12"/>
      <c r="AE36" s="12"/>
      <c r="AF36" s="12"/>
      <c r="AG36" s="12"/>
      <c r="AH36" s="12"/>
      <c r="AI36" s="12"/>
      <c r="AJ36" s="12"/>
      <c r="AK36" s="39"/>
      <c r="AL36" s="39"/>
      <c r="AM36" s="107"/>
      <c r="AN36" s="107"/>
      <c r="AO36" s="107"/>
      <c r="AP36" s="107"/>
      <c r="AQ36" s="107"/>
      <c r="AR36" s="107"/>
      <c r="AS36" s="107"/>
      <c r="AT36" s="107"/>
    </row>
    <row r="37" spans="1:46" ht="16.5" customHeight="1">
      <c r="A37" s="270" t="s">
        <v>41</v>
      </c>
      <c r="B37" s="271"/>
      <c r="C37" s="268" t="s">
        <v>17</v>
      </c>
      <c r="D37" s="268" t="s">
        <v>17</v>
      </c>
      <c r="E37" s="268" t="s">
        <v>17</v>
      </c>
      <c r="F37" s="264" t="s">
        <v>17</v>
      </c>
      <c r="G37" s="265"/>
      <c r="H37" s="264" t="s">
        <v>17</v>
      </c>
      <c r="I37" s="265"/>
      <c r="J37" s="264" t="s">
        <v>17</v>
      </c>
      <c r="K37" s="268" t="s">
        <v>17</v>
      </c>
      <c r="L37" s="451" t="s">
        <v>154</v>
      </c>
      <c r="M37" s="209"/>
      <c r="O37" s="39"/>
      <c r="P37" s="92"/>
      <c r="AB37" s="94"/>
      <c r="AC37" s="12"/>
      <c r="AD37" s="12"/>
      <c r="AE37" s="12"/>
      <c r="AF37" s="12"/>
      <c r="AG37" s="12"/>
      <c r="AH37" s="12"/>
      <c r="AI37" s="12"/>
      <c r="AJ37" s="12"/>
      <c r="AK37" s="39"/>
      <c r="AL37" s="39"/>
      <c r="AM37" s="60"/>
      <c r="AN37" s="53"/>
      <c r="AO37" s="53"/>
      <c r="AP37" s="53"/>
      <c r="AQ37" s="53"/>
      <c r="AR37" s="53"/>
      <c r="AS37" s="101"/>
      <c r="AT37" s="39"/>
    </row>
    <row r="38" spans="1:46" ht="15.75" customHeight="1" thickBot="1">
      <c r="A38" s="272"/>
      <c r="B38" s="273"/>
      <c r="C38" s="269"/>
      <c r="D38" s="269"/>
      <c r="E38" s="269"/>
      <c r="F38" s="266"/>
      <c r="G38" s="267"/>
      <c r="H38" s="266"/>
      <c r="I38" s="267"/>
      <c r="J38" s="266"/>
      <c r="K38" s="269"/>
      <c r="L38" s="262">
        <f>+$L$34-$L$35</f>
        <v>0.3568543043252541</v>
      </c>
      <c r="M38" s="454"/>
      <c r="N38" s="29"/>
      <c r="O38" s="39"/>
      <c r="P38" s="92"/>
      <c r="AB38" s="94"/>
      <c r="AC38" s="12"/>
      <c r="AD38" s="12"/>
      <c r="AE38" s="12"/>
      <c r="AF38" s="12"/>
      <c r="AG38" s="12"/>
      <c r="AH38" s="12"/>
      <c r="AI38" s="12"/>
      <c r="AJ38" s="12"/>
      <c r="AK38" s="39"/>
      <c r="AL38" s="39"/>
      <c r="AM38" s="60"/>
      <c r="AN38" s="53"/>
      <c r="AO38" s="53"/>
      <c r="AP38" s="53"/>
      <c r="AQ38" s="53"/>
      <c r="AR38" s="53"/>
      <c r="AS38" s="101"/>
      <c r="AT38" s="39"/>
    </row>
    <row r="39" spans="1:46" ht="12.75">
      <c r="A39" s="227" t="s">
        <v>155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90"/>
      <c r="O39" s="39"/>
      <c r="P39" s="92"/>
      <c r="AB39" s="94"/>
      <c r="AC39" s="12"/>
      <c r="AD39" s="12"/>
      <c r="AE39" s="12"/>
      <c r="AF39" s="12"/>
      <c r="AG39" s="12"/>
      <c r="AH39" s="12"/>
      <c r="AI39" s="12"/>
      <c r="AJ39" s="12"/>
      <c r="AK39" s="39"/>
      <c r="AL39" s="39"/>
      <c r="AM39" s="60"/>
      <c r="AN39" s="53"/>
      <c r="AO39" s="53"/>
      <c r="AP39" s="53"/>
      <c r="AQ39" s="53"/>
      <c r="AR39" s="53"/>
      <c r="AS39" s="101"/>
      <c r="AT39" s="39"/>
    </row>
    <row r="40" spans="1:54" ht="13.5" customHeight="1">
      <c r="A40" s="49"/>
      <c r="B40" s="49"/>
      <c r="C40" s="119"/>
      <c r="D40" s="119"/>
      <c r="E40" s="49"/>
      <c r="F40" s="49"/>
      <c r="G40" s="49"/>
      <c r="H40" s="50"/>
      <c r="I40" s="32"/>
      <c r="J40" s="49"/>
      <c r="K40" s="49"/>
      <c r="L40" s="49"/>
      <c r="M40" s="49"/>
      <c r="O40" s="39"/>
      <c r="P40" s="92"/>
      <c r="AB40" s="12"/>
      <c r="AC40" s="12"/>
      <c r="AD40" s="12"/>
      <c r="AE40" s="12"/>
      <c r="AF40" s="12"/>
      <c r="AG40" s="12"/>
      <c r="AH40" s="12"/>
      <c r="AI40" s="12"/>
      <c r="AJ40" s="12"/>
      <c r="AK40" s="39"/>
      <c r="AL40" s="39"/>
      <c r="AM40" s="53"/>
      <c r="AN40" s="53"/>
      <c r="AO40" s="53"/>
      <c r="AP40" s="53"/>
      <c r="AQ40" s="53"/>
      <c r="AR40" s="53"/>
      <c r="AS40" s="101"/>
      <c r="AT40" s="66"/>
      <c r="AU40" s="63"/>
      <c r="AV40" s="63"/>
      <c r="AW40" s="63"/>
      <c r="AX40" s="63"/>
      <c r="AY40" s="63"/>
      <c r="AZ40" s="63"/>
      <c r="BA40" s="63"/>
      <c r="BB40" s="63"/>
    </row>
    <row r="41" spans="1:54" ht="13.5" thickBo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O41" s="39"/>
      <c r="P41" s="92"/>
      <c r="AB41" s="12"/>
      <c r="AC41" s="12"/>
      <c r="AD41" s="12"/>
      <c r="AE41" s="12"/>
      <c r="AF41" s="12"/>
      <c r="AG41" s="12"/>
      <c r="AH41" s="12"/>
      <c r="AI41" s="12"/>
      <c r="AJ41" s="12"/>
      <c r="AK41" s="39"/>
      <c r="AL41" s="39"/>
      <c r="AM41" s="51"/>
      <c r="AN41" s="39"/>
      <c r="AO41" s="39"/>
      <c r="AP41" s="62"/>
      <c r="AQ41" s="39"/>
      <c r="AR41" s="39"/>
      <c r="AS41" s="39"/>
      <c r="AT41" s="33"/>
      <c r="AY41" s="33"/>
      <c r="AZ41" s="33"/>
      <c r="BA41" s="33"/>
      <c r="BB41" s="33"/>
    </row>
    <row r="42" spans="1:54" ht="14.25" thickBot="1" thickTop="1">
      <c r="A42" s="229" t="s">
        <v>224</v>
      </c>
      <c r="B42" s="274"/>
      <c r="C42" s="274"/>
      <c r="D42" s="274"/>
      <c r="E42" s="274"/>
      <c r="F42" s="274"/>
      <c r="G42" s="274"/>
      <c r="H42" s="275"/>
      <c r="I42" s="275"/>
      <c r="J42" s="275"/>
      <c r="K42" s="275"/>
      <c r="L42" s="275"/>
      <c r="M42" s="275"/>
      <c r="O42" s="39"/>
      <c r="P42" s="92"/>
      <c r="AB42" s="12"/>
      <c r="AC42" s="12"/>
      <c r="AD42" s="12"/>
      <c r="AE42" s="12"/>
      <c r="AF42" s="12"/>
      <c r="AG42" s="12"/>
      <c r="AH42" s="12"/>
      <c r="AI42" s="12"/>
      <c r="AJ42" s="12"/>
      <c r="AK42" s="39"/>
      <c r="AL42" s="39"/>
      <c r="AM42" s="65"/>
      <c r="AN42" s="61"/>
      <c r="AO42" s="33"/>
      <c r="AP42" s="64"/>
      <c r="AQ42" s="62"/>
      <c r="AR42" s="66"/>
      <c r="AS42" s="39"/>
      <c r="AT42" s="62"/>
      <c r="AY42" s="62"/>
      <c r="AZ42" s="62"/>
      <c r="BA42" s="62"/>
      <c r="BB42" s="39"/>
    </row>
    <row r="43" spans="1:54" ht="12.75" customHeight="1">
      <c r="A43" s="276" t="s">
        <v>19</v>
      </c>
      <c r="B43" s="277"/>
      <c r="C43" s="6" t="s">
        <v>20</v>
      </c>
      <c r="D43" s="278" t="s">
        <v>21</v>
      </c>
      <c r="E43" s="279"/>
      <c r="F43" s="82" t="s">
        <v>22</v>
      </c>
      <c r="G43" s="280" t="s">
        <v>23</v>
      </c>
      <c r="H43" s="281"/>
      <c r="I43" s="82" t="s">
        <v>24</v>
      </c>
      <c r="J43" s="28" t="s">
        <v>25</v>
      </c>
      <c r="K43" s="82" t="s">
        <v>26</v>
      </c>
      <c r="L43" s="283" t="s">
        <v>27</v>
      </c>
      <c r="M43" s="284"/>
      <c r="O43" s="39"/>
      <c r="P43" s="92"/>
      <c r="AB43" s="12"/>
      <c r="AC43" s="12"/>
      <c r="AD43" s="12"/>
      <c r="AE43" s="12"/>
      <c r="AF43" s="12"/>
      <c r="AG43" s="12"/>
      <c r="AH43" s="12"/>
      <c r="AI43" s="12"/>
      <c r="AJ43" s="12"/>
      <c r="AK43" s="39"/>
      <c r="AL43" s="39"/>
      <c r="AM43" s="56"/>
      <c r="AN43" s="33"/>
      <c r="AO43" s="39"/>
      <c r="AP43" s="67"/>
      <c r="AQ43" s="33"/>
      <c r="AR43" s="67"/>
      <c r="AS43" s="67"/>
      <c r="AT43" s="39"/>
      <c r="AY43" s="62"/>
      <c r="AZ43" s="62"/>
      <c r="BA43" s="62"/>
      <c r="BB43" s="39"/>
    </row>
    <row r="44" spans="1:54" ht="13.5" customHeight="1">
      <c r="A44" s="260" t="s">
        <v>42</v>
      </c>
      <c r="B44" s="256"/>
      <c r="C44" s="256" t="s">
        <v>44</v>
      </c>
      <c r="D44" s="256" t="s">
        <v>109</v>
      </c>
      <c r="E44" s="247"/>
      <c r="F44" s="256" t="s">
        <v>43</v>
      </c>
      <c r="G44" s="256" t="s">
        <v>110</v>
      </c>
      <c r="H44" s="256"/>
      <c r="I44" s="256" t="s">
        <v>161</v>
      </c>
      <c r="J44" s="456" t="s">
        <v>227</v>
      </c>
      <c r="K44" s="256" t="s">
        <v>162</v>
      </c>
      <c r="L44" s="256" t="s">
        <v>229</v>
      </c>
      <c r="M44" s="261"/>
      <c r="O44" s="39"/>
      <c r="P44" s="92"/>
      <c r="AB44" s="12"/>
      <c r="AC44" s="12"/>
      <c r="AD44" s="12"/>
      <c r="AE44" s="12"/>
      <c r="AF44" s="12"/>
      <c r="AG44" s="12"/>
      <c r="AH44" s="12"/>
      <c r="AI44" s="12"/>
      <c r="AJ44" s="12"/>
      <c r="AK44" s="39"/>
      <c r="AL44" s="39"/>
      <c r="AM44" s="56"/>
      <c r="AN44" s="33"/>
      <c r="AO44" s="39"/>
      <c r="AP44" s="67"/>
      <c r="AQ44" s="33"/>
      <c r="AR44" s="67"/>
      <c r="AS44" s="67"/>
      <c r="AT44" s="39"/>
      <c r="AY44" s="62"/>
      <c r="AZ44" s="62"/>
      <c r="BA44" s="64"/>
      <c r="BB44" s="39"/>
    </row>
    <row r="45" spans="1:54" ht="12.75">
      <c r="A45" s="260"/>
      <c r="B45" s="256"/>
      <c r="C45" s="210"/>
      <c r="D45" s="247"/>
      <c r="E45" s="247"/>
      <c r="F45" s="210"/>
      <c r="G45" s="210"/>
      <c r="H45" s="210"/>
      <c r="I45" s="210"/>
      <c r="J45" s="457"/>
      <c r="K45" s="210"/>
      <c r="L45" s="210"/>
      <c r="M45" s="216"/>
      <c r="O45" s="39"/>
      <c r="P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56"/>
      <c r="AN45" s="33"/>
      <c r="AO45" s="39"/>
      <c r="AP45" s="50"/>
      <c r="AQ45" s="33"/>
      <c r="AR45" s="67"/>
      <c r="AS45" s="67"/>
      <c r="AT45" s="39"/>
      <c r="AY45" s="33"/>
      <c r="AZ45" s="46"/>
      <c r="BA45" s="40"/>
      <c r="BB45" s="39"/>
    </row>
    <row r="46" spans="1:46" ht="12.75">
      <c r="A46" s="197"/>
      <c r="B46" s="210"/>
      <c r="C46" s="210"/>
      <c r="D46" s="247"/>
      <c r="E46" s="247"/>
      <c r="F46" s="210"/>
      <c r="G46" s="210"/>
      <c r="H46" s="210"/>
      <c r="I46" s="210"/>
      <c r="J46" s="450"/>
      <c r="K46" s="210"/>
      <c r="L46" s="210"/>
      <c r="M46" s="216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ht="16.5" customHeight="1">
      <c r="A47" s="197"/>
      <c r="B47" s="210"/>
      <c r="C47" s="255" t="s">
        <v>449</v>
      </c>
      <c r="D47" s="214" t="s">
        <v>225</v>
      </c>
      <c r="E47" s="254"/>
      <c r="F47" s="255" t="s">
        <v>450</v>
      </c>
      <c r="G47" s="214" t="s">
        <v>226</v>
      </c>
      <c r="H47" s="254"/>
      <c r="I47" s="255" t="s">
        <v>449</v>
      </c>
      <c r="J47" s="496" t="s">
        <v>228</v>
      </c>
      <c r="K47" s="255" t="s">
        <v>449</v>
      </c>
      <c r="L47" s="214" t="s">
        <v>230</v>
      </c>
      <c r="M47" s="215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ht="12.75">
      <c r="A48" s="197"/>
      <c r="B48" s="210"/>
      <c r="C48" s="210"/>
      <c r="D48" s="210"/>
      <c r="E48" s="210"/>
      <c r="F48" s="210"/>
      <c r="G48" s="210"/>
      <c r="H48" s="210"/>
      <c r="I48" s="210"/>
      <c r="J48" s="497"/>
      <c r="K48" s="210"/>
      <c r="L48" s="210"/>
      <c r="M48" s="216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ht="12.75">
      <c r="A49" s="253" t="s">
        <v>39</v>
      </c>
      <c r="B49" s="240"/>
      <c r="C49" s="79">
        <f>IF('Intersection Tables'!$D$7="No",IF($I$9="3ST",SUM('Intersection Tables'!$E$10:$E$15),IF($I$9="4ST",SUM('Intersection Tables'!$E$18:$E$23),SUM('Intersection Tables'!$E$26:$E$31))),IF($I$9="3ST",SUM('Intersection Tables'!$I$10:$I$15),IF($I$9="4ST",SUM('Intersection Tables'!$I$18:$I$23),SUM('Intersection Tables'!$I$26:$I$31))))</f>
        <v>1</v>
      </c>
      <c r="D49" s="248">
        <f>+L34</f>
        <v>0.6178254952995561</v>
      </c>
      <c r="E49" s="249"/>
      <c r="F49" s="79">
        <f>IF('Intersection Tables'!$D$7="No",IF($I$9="3ST",SUM('Intersection Tables'!$F$10:$F$15),IF($I$9="4ST",SUM('Intersection Tables'!$F$18:$F$23),SUM('Intersection Tables'!$F$26:$F$31))),IF($I$9="3ST",SUM('Intersection Tables'!$J$10:$J$15),IF($I$9="4ST",SUM('Intersection Tables'!$J$18:$J$23),SUM('Intersection Tables'!$J$26:$J$31))))</f>
        <v>1</v>
      </c>
      <c r="G49" s="248">
        <f>+L35</f>
        <v>0.260971190974302</v>
      </c>
      <c r="H49" s="249"/>
      <c r="I49" s="79">
        <f>IF('Intersection Tables'!$D$7="No",IF($I$9="3ST",SUM('Intersection Tables'!$G$10:$G$15),IF($I$9="4ST",SUM('Intersection Tables'!$G$18:$G$23),SUM('Intersection Tables'!$G$26:$G$31))),IF($I$9="3ST",SUM('Intersection Tables'!$K$10:$K$15),IF($I$9="4ST",SUM('Intersection Tables'!$K$18:$K$23),SUM('Intersection Tables'!$K$26:$K$31))))</f>
        <v>0.9999999999999999</v>
      </c>
      <c r="J49" s="81">
        <f>+L36</f>
        <v>0.16249907158074212</v>
      </c>
      <c r="K49" s="79">
        <f>IF('Intersection Tables'!$D$7="No",IF($I$9="3ST",SUM('Intersection Tables'!$H$10:$H$15),IF($I$9="4ST",SUM('Intersection Tables'!$H$18:$H$23),SUM('Intersection Tables'!$H$26:$H$31))),IF($I$9="3ST",SUM('Intersection Tables'!$L$10:$L$15),IF($I$9="4ST",SUM('Intersection Tables'!$L$18:$L$23),SUM('Intersection Tables'!$L$26:$L$31))))</f>
        <v>1</v>
      </c>
      <c r="L49" s="248">
        <f>+L38</f>
        <v>0.3568543043252541</v>
      </c>
      <c r="M49" s="250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13" ht="15.75">
      <c r="A50" s="257"/>
      <c r="B50" s="258"/>
      <c r="C50" s="80"/>
      <c r="D50" s="233" t="s">
        <v>168</v>
      </c>
      <c r="E50" s="258"/>
      <c r="F50" s="80"/>
      <c r="G50" s="259" t="s">
        <v>169</v>
      </c>
      <c r="H50" s="247"/>
      <c r="I50" s="80"/>
      <c r="J50" s="78" t="s">
        <v>170</v>
      </c>
      <c r="K50" s="80"/>
      <c r="L50" s="233" t="s">
        <v>171</v>
      </c>
      <c r="M50" s="216"/>
    </row>
    <row r="51" spans="1:13" ht="12.75">
      <c r="A51" s="246" t="s">
        <v>46</v>
      </c>
      <c r="B51" s="247"/>
      <c r="C51" s="79">
        <f>IF('Intersection Tables'!$D$7="No",(IF($I$9="3ST",'Intersection Tables'!E10,(IF($I$9="4ST",'Intersection Tables'!E18,'Intersection Tables'!E26)))),(IF($I$9="3ST",'Intersection Tables'!I10,(IF($I$9="4ST",'Intersection Tables'!I18,'Intersection Tables'!I26)))))</f>
        <v>0.029</v>
      </c>
      <c r="D51" s="248">
        <f aca="true" t="shared" si="0" ref="D51:D56">+C51*$D$49</f>
        <v>0.01791693936368713</v>
      </c>
      <c r="E51" s="249"/>
      <c r="F51" s="79">
        <f>IF('Intersection Tables'!$D$7="No",(IF($I$9="3ST",'Intersection Tables'!F10,(IF($I$9="4ST",'Intersection Tables'!F18,'Intersection Tables'!F26)))),(IF($I$9="3ST",'Intersection Tables'!J10,(IF($I$9="4ST",'Intersection Tables'!J18,'Intersection Tables'!J26)))))</f>
        <v>0.043</v>
      </c>
      <c r="G51" s="248">
        <f aca="true" t="shared" si="1" ref="G51:G56">+F51*$G$49</f>
        <v>0.011221761211894984</v>
      </c>
      <c r="H51" s="249"/>
      <c r="I51" s="79">
        <f>IF('Intersection Tables'!$D$7="No",(IF($I$9="3ST",'Intersection Tables'!G10,(IF($I$9="4ST",'Intersection Tables'!G18,'Intersection Tables'!G26)))),(IF($I$9="3ST",'Intersection Tables'!K10,(IF($I$9="4ST",'Intersection Tables'!K18,'Intersection Tables'!K26)))))</f>
        <v>0.052</v>
      </c>
      <c r="J51" s="81">
        <f aca="true" t="shared" si="2" ref="J51:J56">+I51*$J$49</f>
        <v>0.00844995172219859</v>
      </c>
      <c r="K51" s="79">
        <f>IF('Intersection Tables'!$D$7="No",(IF($I$9="3ST",'Intersection Tables'!H10,(IF($I$9="4ST",'Intersection Tables'!H18,'Intersection Tables'!H26)))),(IF($I$9="3ST",'Intersection Tables'!L10,(IF($I$9="4ST",'Intersection Tables'!L18,'Intersection Tables'!L26)))))</f>
        <v>0.02</v>
      </c>
      <c r="L51" s="248">
        <f aca="true" t="shared" si="3" ref="L51:L56">+K51*$L$49</f>
        <v>0.0071370860865050826</v>
      </c>
      <c r="M51" s="250"/>
    </row>
    <row r="52" spans="1:13" ht="12.75">
      <c r="A52" s="246" t="s">
        <v>48</v>
      </c>
      <c r="B52" s="247"/>
      <c r="C52" s="79">
        <f>IF('Intersection Tables'!$D$7="No",(IF($I$9="3ST",'Intersection Tables'!E11,(IF($I$9="4ST",'Intersection Tables'!E19,'Intersection Tables'!E27)))),(IF($I$9="3ST",'Intersection Tables'!I11,(IF($I$9="4ST",'Intersection Tables'!I19,'Intersection Tables'!I27)))))</f>
        <v>0.133</v>
      </c>
      <c r="D52" s="248">
        <f t="shared" si="0"/>
        <v>0.08217079087484097</v>
      </c>
      <c r="E52" s="249"/>
      <c r="F52" s="79">
        <f>IF('Intersection Tables'!$D$7="No",(IF($I$9="3ST",'Intersection Tables'!F11,(IF($I$9="4ST",'Intersection Tables'!F19,'Intersection Tables'!F27)))),(IF($I$9="3ST",'Intersection Tables'!J11,(IF($I$9="4ST",'Intersection Tables'!J19,'Intersection Tables'!J27)))))</f>
        <v>0.058</v>
      </c>
      <c r="G52" s="248">
        <f t="shared" si="1"/>
        <v>0.015136329076509516</v>
      </c>
      <c r="H52" s="249"/>
      <c r="I52" s="79">
        <f>IF('Intersection Tables'!$D$7="No",(IF($I$9="3ST",'Intersection Tables'!G11,(IF($I$9="4ST",'Intersection Tables'!G19,'Intersection Tables'!G27)))),(IF($I$9="3ST",'Intersection Tables'!K11,(IF($I$9="4ST",'Intersection Tables'!K19,'Intersection Tables'!K27)))))</f>
        <v>0.057</v>
      </c>
      <c r="J52" s="81">
        <f t="shared" si="2"/>
        <v>0.009262447080102302</v>
      </c>
      <c r="K52" s="79">
        <f>IF('Intersection Tables'!$D$7="No",(IF($I$9="3ST",'Intersection Tables'!H11,(IF($I$9="4ST",'Intersection Tables'!H19,'Intersection Tables'!H27)))),(IF($I$9="3ST",'Intersection Tables'!L11,(IF($I$9="4ST",'Intersection Tables'!L19,'Intersection Tables'!L27)))))</f>
        <v>0.179</v>
      </c>
      <c r="L52" s="248">
        <f t="shared" si="3"/>
        <v>0.06387692047422049</v>
      </c>
      <c r="M52" s="250"/>
    </row>
    <row r="53" spans="1:13" ht="12.75">
      <c r="A53" s="226" t="s">
        <v>47</v>
      </c>
      <c r="B53" s="247"/>
      <c r="C53" s="79">
        <f>IF('Intersection Tables'!$D$7="No",(IF($I$9="3ST",'Intersection Tables'!E12,(IF($I$9="4ST",'Intersection Tables'!E20,'Intersection Tables'!E28)))),(IF($I$9="3ST",'Intersection Tables'!I12,(IF($I$9="4ST",'Intersection Tables'!I20,'Intersection Tables'!I28)))))</f>
        <v>0.289</v>
      </c>
      <c r="D53" s="248">
        <f t="shared" si="0"/>
        <v>0.1785515681415717</v>
      </c>
      <c r="E53" s="249"/>
      <c r="F53" s="79">
        <f>IF('Intersection Tables'!$D$7="No",(IF($I$9="3ST",'Intersection Tables'!F12,(IF($I$9="4ST",'Intersection Tables'!F20,'Intersection Tables'!F28)))),(IF($I$9="3ST",'Intersection Tables'!J12,(IF($I$9="4ST",'Intersection Tables'!J20,'Intersection Tables'!J28)))))</f>
        <v>0.247</v>
      </c>
      <c r="G53" s="248">
        <f t="shared" si="1"/>
        <v>0.0644598841706526</v>
      </c>
      <c r="H53" s="249"/>
      <c r="I53" s="79">
        <f>IF('Intersection Tables'!$D$7="No",(IF($I$9="3ST",'Intersection Tables'!G12,(IF($I$9="4ST",'Intersection Tables'!G20,'Intersection Tables'!G28)))),(IF($I$9="3ST",'Intersection Tables'!K12,(IF($I$9="4ST",'Intersection Tables'!K20,'Intersection Tables'!K28)))))</f>
        <v>0.142</v>
      </c>
      <c r="J53" s="81">
        <f t="shared" si="2"/>
        <v>0.023074868164465377</v>
      </c>
      <c r="K53" s="79">
        <f>IF('Intersection Tables'!$D$7="No",(IF($I$9="3ST",'Intersection Tables'!H12,(IF($I$9="4ST",'Intersection Tables'!H20,'Intersection Tables'!H28)))),(IF($I$9="3ST",'Intersection Tables'!L12,(IF($I$9="4ST",'Intersection Tables'!L20,'Intersection Tables'!L28)))))</f>
        <v>0.315</v>
      </c>
      <c r="L53" s="248">
        <f t="shared" si="3"/>
        <v>0.11240910586245505</v>
      </c>
      <c r="M53" s="250"/>
    </row>
    <row r="54" spans="1:13" ht="12.75">
      <c r="A54" s="246" t="s">
        <v>45</v>
      </c>
      <c r="B54" s="247"/>
      <c r="C54" s="79">
        <f>IF('Intersection Tables'!$D$7="No",(IF($I$9="3ST",'Intersection Tables'!E13,(IF($I$9="4ST",'Intersection Tables'!E21,'Intersection Tables'!E29)))),(IF($I$9="3ST",'Intersection Tables'!I13,(IF($I$9="4ST",'Intersection Tables'!I21,'Intersection Tables'!I29)))))</f>
        <v>0.263</v>
      </c>
      <c r="D54" s="248">
        <f t="shared" si="0"/>
        <v>0.16248810526378327</v>
      </c>
      <c r="E54" s="249"/>
      <c r="F54" s="79">
        <f>IF('Intersection Tables'!$D$7="No",(IF($I$9="3ST",'Intersection Tables'!F13,(IF($I$9="4ST",'Intersection Tables'!F21,'Intersection Tables'!F29)))),(IF($I$9="3ST",'Intersection Tables'!J13,(IF($I$9="4ST",'Intersection Tables'!J21,'Intersection Tables'!J29)))))</f>
        <v>0.369</v>
      </c>
      <c r="G54" s="248">
        <f t="shared" si="1"/>
        <v>0.09629836946951743</v>
      </c>
      <c r="H54" s="249"/>
      <c r="I54" s="79">
        <f>IF('Intersection Tables'!$D$7="No",(IF($I$9="3ST",'Intersection Tables'!G13,(IF($I$9="4ST",'Intersection Tables'!G21,'Intersection Tables'!G29)))),(IF($I$9="3ST",'Intersection Tables'!K13,(IF($I$9="4ST",'Intersection Tables'!K21,'Intersection Tables'!K29)))))</f>
        <v>0.381</v>
      </c>
      <c r="J54" s="81">
        <f t="shared" si="2"/>
        <v>0.06191214627226275</v>
      </c>
      <c r="K54" s="79">
        <f>IF('Intersection Tables'!$D$7="No",(IF($I$9="3ST",'Intersection Tables'!H13,(IF($I$9="4ST",'Intersection Tables'!H21,'Intersection Tables'!H29)))),(IF($I$9="3ST",'Intersection Tables'!L13,(IF($I$9="4ST",'Intersection Tables'!L21,'Intersection Tables'!L29)))))</f>
        <v>0.198</v>
      </c>
      <c r="L54" s="248">
        <f t="shared" si="3"/>
        <v>0.07065715225640032</v>
      </c>
      <c r="M54" s="250"/>
    </row>
    <row r="55" spans="1:14" ht="12.75">
      <c r="A55" s="246" t="s">
        <v>172</v>
      </c>
      <c r="B55" s="247"/>
      <c r="C55" s="79">
        <f>IF('Intersection Tables'!$D$7="No",(IF($I$9="3ST",'Intersection Tables'!E14,(IF($I$9="4ST",'Intersection Tables'!E22,'Intersection Tables'!E30)))),(IF($I$9="3ST",'Intersection Tables'!I14,(IF($I$9="4ST",'Intersection Tables'!I22,'Intersection Tables'!I30)))))</f>
        <v>0.234</v>
      </c>
      <c r="D55" s="248">
        <f t="shared" si="0"/>
        <v>0.14457116590009614</v>
      </c>
      <c r="E55" s="249"/>
      <c r="F55" s="79">
        <f>IF('Intersection Tables'!$D$7="No",(IF($I$9="3ST",'Intersection Tables'!F14,(IF($I$9="4ST",'Intersection Tables'!F22,'Intersection Tables'!F30)))),(IF($I$9="3ST",'Intersection Tables'!J14,(IF($I$9="4ST",'Intersection Tables'!J22,'Intersection Tables'!J30)))))</f>
        <v>0.219</v>
      </c>
      <c r="G55" s="248">
        <f t="shared" si="1"/>
        <v>0.05715269082337213</v>
      </c>
      <c r="H55" s="249"/>
      <c r="I55" s="79">
        <f>IF('Intersection Tables'!$D$7="No",(IF($I$9="3ST",'Intersection Tables'!G14,(IF($I$9="4ST",'Intersection Tables'!G22,'Intersection Tables'!G30)))),(IF($I$9="3ST",'Intersection Tables'!K14,(IF($I$9="4ST",'Intersection Tables'!K22,'Intersection Tables'!K30)))))</f>
        <v>0.284</v>
      </c>
      <c r="J55" s="81">
        <f t="shared" si="2"/>
        <v>0.046149736328930754</v>
      </c>
      <c r="K55" s="79">
        <f>IF('Intersection Tables'!$D$7="No",(IF($I$9="3ST",'Intersection Tables'!H14,(IF($I$9="4ST",'Intersection Tables'!H22,'Intersection Tables'!H30)))),(IF($I$9="3ST",'Intersection Tables'!L14,(IF($I$9="4ST",'Intersection Tables'!L22,'Intersection Tables'!L30)))))</f>
        <v>0.244</v>
      </c>
      <c r="L55" s="248">
        <f t="shared" si="3"/>
        <v>0.087072450255362</v>
      </c>
      <c r="M55" s="250"/>
      <c r="N55" s="29"/>
    </row>
    <row r="56" spans="1:14" ht="13.5" thickBot="1">
      <c r="A56" s="251" t="s">
        <v>173</v>
      </c>
      <c r="B56" s="252"/>
      <c r="C56" s="79">
        <f>IF('Intersection Tables'!$D$7="No",(IF($I$9="3ST",'Intersection Tables'!E15,(IF($I$9="4ST",'Intersection Tables'!E23,'Intersection Tables'!E31)))),(IF($I$9="3ST",'Intersection Tables'!I15,(IF($I$9="4ST",'Intersection Tables'!I23,'Intersection Tables'!I31)))))</f>
        <v>0.052</v>
      </c>
      <c r="D56" s="248">
        <f t="shared" si="0"/>
        <v>0.032126925755576914</v>
      </c>
      <c r="E56" s="249"/>
      <c r="F56" s="79">
        <f>IF('Intersection Tables'!$D$7="No",(IF($I$9="3ST",'Intersection Tables'!F15,(IF($I$9="4ST",'Intersection Tables'!F23,'Intersection Tables'!F31)))),(IF($I$9="3ST",'Intersection Tables'!J15,(IF($I$9="4ST",'Intersection Tables'!J23,'Intersection Tables'!J31)))))</f>
        <v>0.064</v>
      </c>
      <c r="G56" s="248">
        <f t="shared" si="1"/>
        <v>0.016702156222355328</v>
      </c>
      <c r="H56" s="249"/>
      <c r="I56" s="79">
        <f>IF('Intersection Tables'!$D$7="No",(IF($I$9="3ST",'Intersection Tables'!G15,(IF($I$9="4ST",'Intersection Tables'!G23,'Intersection Tables'!G31)))),(IF($I$9="3ST",'Intersection Tables'!K15,(IF($I$9="4ST",'Intersection Tables'!K23,'Intersection Tables'!K31)))))</f>
        <v>0.084</v>
      </c>
      <c r="J56" s="81">
        <f t="shared" si="2"/>
        <v>0.013649922012782338</v>
      </c>
      <c r="K56" s="79">
        <f>IF('Intersection Tables'!$D$7="No",(IF($I$9="3ST",'Intersection Tables'!H15,(IF($I$9="4ST",'Intersection Tables'!H23,'Intersection Tables'!H31)))),(IF($I$9="3ST",'Intersection Tables'!L15,(IF($I$9="4ST",'Intersection Tables'!L23,'Intersection Tables'!L31)))))</f>
        <v>0.044</v>
      </c>
      <c r="L56" s="248">
        <f t="shared" si="3"/>
        <v>0.01570158939031118</v>
      </c>
      <c r="M56" s="250"/>
      <c r="N56" s="29"/>
    </row>
    <row r="57" spans="1:14" ht="12.75">
      <c r="A57" s="227" t="s">
        <v>155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90"/>
    </row>
    <row r="58" spans="1:14" ht="12.75">
      <c r="A58" s="39"/>
      <c r="B58" s="39"/>
      <c r="C58" s="50"/>
      <c r="D58" s="50"/>
      <c r="E58" s="50"/>
      <c r="F58" s="50"/>
      <c r="G58" s="33"/>
      <c r="H58" s="50"/>
      <c r="I58" s="50"/>
      <c r="J58" s="50"/>
      <c r="K58" s="33"/>
      <c r="L58" s="50"/>
      <c r="M58" s="50"/>
      <c r="N58" s="39"/>
    </row>
    <row r="59" spans="1:14" ht="12.75">
      <c r="A59" s="62"/>
      <c r="B59" s="33"/>
      <c r="C59" s="33"/>
      <c r="D59" s="33"/>
      <c r="E59" s="33"/>
      <c r="F59" s="33"/>
      <c r="G59" s="33"/>
      <c r="H59" s="39"/>
      <c r="I59" s="39"/>
      <c r="J59" s="39"/>
      <c r="K59" s="39"/>
      <c r="L59" s="39"/>
      <c r="M59" s="39"/>
      <c r="N59" s="39"/>
    </row>
    <row r="60" spans="9:16" ht="13.5" thickBot="1">
      <c r="I60" s="39"/>
      <c r="J60" s="39"/>
      <c r="K60" s="39"/>
      <c r="L60" s="39"/>
      <c r="M60" s="39"/>
      <c r="N60" s="39"/>
      <c r="O60" s="39"/>
      <c r="P60" s="39"/>
    </row>
    <row r="61" spans="3:16" ht="14.25" thickBot="1" thickTop="1">
      <c r="C61" s="229" t="s">
        <v>231</v>
      </c>
      <c r="D61" s="229"/>
      <c r="E61" s="229"/>
      <c r="F61" s="229"/>
      <c r="G61" s="229"/>
      <c r="H61" s="229"/>
      <c r="I61" s="229"/>
      <c r="J61" s="229"/>
      <c r="K61" s="51"/>
      <c r="L61" s="51"/>
      <c r="M61" s="51"/>
      <c r="N61" s="39"/>
      <c r="O61" s="39"/>
      <c r="P61" s="39"/>
    </row>
    <row r="62" spans="3:16" ht="12.75">
      <c r="C62" s="279" t="s">
        <v>19</v>
      </c>
      <c r="D62" s="299"/>
      <c r="E62" s="299"/>
      <c r="F62" s="303"/>
      <c r="G62" s="304" t="s">
        <v>20</v>
      </c>
      <c r="H62" s="231"/>
      <c r="I62" s="231"/>
      <c r="J62" s="235"/>
      <c r="K62" s="33"/>
      <c r="L62" s="33"/>
      <c r="M62" s="33"/>
      <c r="N62" s="39"/>
      <c r="O62" s="39"/>
      <c r="P62" s="39"/>
    </row>
    <row r="63" spans="3:16" ht="12.75">
      <c r="C63" s="260" t="s">
        <v>49</v>
      </c>
      <c r="D63" s="256"/>
      <c r="E63" s="256"/>
      <c r="F63" s="256"/>
      <c r="G63" s="244" t="s">
        <v>111</v>
      </c>
      <c r="H63" s="244"/>
      <c r="I63" s="244"/>
      <c r="J63" s="245"/>
      <c r="K63" s="62"/>
      <c r="L63" s="62"/>
      <c r="M63" s="62"/>
      <c r="N63" s="39"/>
      <c r="O63" s="39"/>
      <c r="P63" s="39"/>
    </row>
    <row r="64" spans="3:16" ht="12.75">
      <c r="C64" s="463"/>
      <c r="D64" s="464"/>
      <c r="E64" s="464"/>
      <c r="F64" s="464"/>
      <c r="G64" s="259" t="s">
        <v>232</v>
      </c>
      <c r="H64" s="247"/>
      <c r="I64" s="247"/>
      <c r="J64" s="310"/>
      <c r="K64" s="48"/>
      <c r="L64" s="39"/>
      <c r="M64" s="39"/>
      <c r="N64" s="39"/>
      <c r="O64" s="39"/>
      <c r="P64" s="39"/>
    </row>
    <row r="65" spans="3:16" ht="12.75">
      <c r="C65" s="224" t="s">
        <v>39</v>
      </c>
      <c r="D65" s="225"/>
      <c r="E65" s="225"/>
      <c r="F65" s="247"/>
      <c r="G65" s="222">
        <f>+L34</f>
        <v>0.6178254952995561</v>
      </c>
      <c r="H65" s="465"/>
      <c r="I65" s="465"/>
      <c r="J65" s="465"/>
      <c r="K65" s="12"/>
      <c r="L65" s="12"/>
      <c r="M65" s="12"/>
      <c r="N65" s="39"/>
      <c r="O65" s="39"/>
      <c r="P65" s="39"/>
    </row>
    <row r="66" spans="3:16" ht="12.75">
      <c r="C66" s="224" t="s">
        <v>40</v>
      </c>
      <c r="D66" s="225"/>
      <c r="E66" s="225"/>
      <c r="F66" s="247"/>
      <c r="G66" s="222">
        <f>+L35</f>
        <v>0.260971190974302</v>
      </c>
      <c r="H66" s="465"/>
      <c r="I66" s="465"/>
      <c r="J66" s="465"/>
      <c r="K66" s="12"/>
      <c r="L66" s="12"/>
      <c r="M66" s="12"/>
      <c r="N66" s="39"/>
      <c r="O66" s="39"/>
      <c r="P66" s="39"/>
    </row>
    <row r="67" spans="3:16" ht="14.25">
      <c r="C67" s="461" t="s">
        <v>153</v>
      </c>
      <c r="D67" s="462"/>
      <c r="E67" s="462"/>
      <c r="F67" s="285"/>
      <c r="G67" s="222">
        <f>+L36</f>
        <v>0.16249907158074212</v>
      </c>
      <c r="H67" s="465"/>
      <c r="I67" s="465"/>
      <c r="J67" s="465"/>
      <c r="K67" s="12"/>
      <c r="L67" s="12"/>
      <c r="M67" s="12"/>
      <c r="N67" s="39"/>
      <c r="O67" s="39"/>
      <c r="P67" s="39"/>
    </row>
    <row r="68" spans="3:16" ht="13.5" thickBot="1">
      <c r="C68" s="217" t="s">
        <v>41</v>
      </c>
      <c r="D68" s="218"/>
      <c r="E68" s="218"/>
      <c r="F68" s="252"/>
      <c r="G68" s="466">
        <f>+L38</f>
        <v>0.3568543043252541</v>
      </c>
      <c r="H68" s="467"/>
      <c r="I68" s="467"/>
      <c r="J68" s="467"/>
      <c r="K68" s="12"/>
      <c r="L68" s="12"/>
      <c r="M68" s="12"/>
      <c r="N68" s="39"/>
      <c r="O68" s="39"/>
      <c r="P68" s="39"/>
    </row>
    <row r="69" spans="3:16" ht="12.75">
      <c r="C69" s="227" t="s">
        <v>155</v>
      </c>
      <c r="D69" s="228"/>
      <c r="E69" s="228"/>
      <c r="F69" s="228"/>
      <c r="G69" s="228"/>
      <c r="H69" s="228"/>
      <c r="I69" s="228"/>
      <c r="J69" s="228"/>
      <c r="K69" s="61"/>
      <c r="L69" s="61"/>
      <c r="M69" s="61"/>
      <c r="N69" s="61"/>
      <c r="O69" s="39"/>
      <c r="P69" s="39"/>
    </row>
    <row r="72" spans="1:14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</row>
    <row r="75" spans="1:14" ht="12.75">
      <c r="A75" s="59"/>
      <c r="B75" s="59"/>
      <c r="K75" s="60"/>
      <c r="L75" s="60"/>
      <c r="M75" s="60"/>
      <c r="N75" s="39"/>
    </row>
    <row r="76" spans="1:14" ht="12.75">
      <c r="A76" s="59"/>
      <c r="B76" s="59"/>
      <c r="K76" s="60"/>
      <c r="L76" s="48"/>
      <c r="M76" s="48"/>
      <c r="N76" s="39"/>
    </row>
    <row r="77" spans="1:14" ht="12.75">
      <c r="A77" s="61"/>
      <c r="B77" s="61"/>
      <c r="K77" s="33"/>
      <c r="L77" s="12"/>
      <c r="M77" s="12"/>
      <c r="N77" s="39"/>
    </row>
    <row r="78" spans="1:14" ht="12.75">
      <c r="A78" s="61"/>
      <c r="B78" s="61"/>
      <c r="K78" s="33"/>
      <c r="L78" s="12"/>
      <c r="M78" s="12"/>
      <c r="N78" s="39"/>
    </row>
    <row r="79" spans="1:14" ht="12.75">
      <c r="A79" s="61"/>
      <c r="B79" s="61"/>
      <c r="K79" s="33"/>
      <c r="L79" s="12"/>
      <c r="M79" s="12"/>
      <c r="N79" s="39"/>
    </row>
    <row r="80" spans="1:14" ht="12.75">
      <c r="A80" s="39"/>
      <c r="B80" s="39"/>
      <c r="K80" s="39"/>
      <c r="L80" s="39"/>
      <c r="M80" s="39"/>
      <c r="N80" s="39"/>
    </row>
    <row r="81" spans="1:14" ht="12.75">
      <c r="A81" s="39"/>
      <c r="B81" s="39"/>
      <c r="K81" s="39"/>
      <c r="L81" s="39"/>
      <c r="M81" s="39"/>
      <c r="N81" s="39"/>
    </row>
    <row r="82" spans="1:14" ht="12.75">
      <c r="A82" s="39"/>
      <c r="B82" s="39"/>
      <c r="K82" s="39"/>
      <c r="L82" s="39"/>
      <c r="M82" s="39"/>
      <c r="N82" s="39"/>
    </row>
  </sheetData>
  <sheetProtection/>
  <mergeCells count="190">
    <mergeCell ref="G4:I4"/>
    <mergeCell ref="D6:F6"/>
    <mergeCell ref="G6:I6"/>
    <mergeCell ref="G5:I5"/>
    <mergeCell ref="J5:M5"/>
    <mergeCell ref="J7:M7"/>
    <mergeCell ref="J6:M6"/>
    <mergeCell ref="A9:F9"/>
    <mergeCell ref="G9:H9"/>
    <mergeCell ref="I9:M9"/>
    <mergeCell ref="A10:C10"/>
    <mergeCell ref="A5:C5"/>
    <mergeCell ref="D5:F5"/>
    <mergeCell ref="A2:M2"/>
    <mergeCell ref="A3:F3"/>
    <mergeCell ref="G3:M3"/>
    <mergeCell ref="A7:C7"/>
    <mergeCell ref="D7:F7"/>
    <mergeCell ref="G7:I7"/>
    <mergeCell ref="J4:M4"/>
    <mergeCell ref="A6:C6"/>
    <mergeCell ref="A4:C4"/>
    <mergeCell ref="D4:F4"/>
    <mergeCell ref="G13:H13"/>
    <mergeCell ref="I13:M13"/>
    <mergeCell ref="G12:H12"/>
    <mergeCell ref="G10:H10"/>
    <mergeCell ref="I10:M10"/>
    <mergeCell ref="A12:F12"/>
    <mergeCell ref="A11:C11"/>
    <mergeCell ref="A16:F16"/>
    <mergeCell ref="G16:H16"/>
    <mergeCell ref="I16:M16"/>
    <mergeCell ref="A8:F8"/>
    <mergeCell ref="G8:H8"/>
    <mergeCell ref="I8:M8"/>
    <mergeCell ref="A14:F14"/>
    <mergeCell ref="G14:H14"/>
    <mergeCell ref="I14:M14"/>
    <mergeCell ref="A13:F13"/>
    <mergeCell ref="A37:B38"/>
    <mergeCell ref="C37:C38"/>
    <mergeCell ref="A36:B36"/>
    <mergeCell ref="G11:H11"/>
    <mergeCell ref="I11:M11"/>
    <mergeCell ref="L24:M24"/>
    <mergeCell ref="L23:M23"/>
    <mergeCell ref="J21:K21"/>
    <mergeCell ref="A19:M19"/>
    <mergeCell ref="L20:M20"/>
    <mergeCell ref="F36:G36"/>
    <mergeCell ref="H36:I36"/>
    <mergeCell ref="C44:C46"/>
    <mergeCell ref="D44:E46"/>
    <mergeCell ref="A15:F15"/>
    <mergeCell ref="G15:H15"/>
    <mergeCell ref="I15:M15"/>
    <mergeCell ref="A43:B43"/>
    <mergeCell ref="D43:E43"/>
    <mergeCell ref="A42:M42"/>
    <mergeCell ref="A50:B50"/>
    <mergeCell ref="D50:E50"/>
    <mergeCell ref="G50:H50"/>
    <mergeCell ref="L50:M50"/>
    <mergeCell ref="A49:B49"/>
    <mergeCell ref="D49:E49"/>
    <mergeCell ref="G49:H49"/>
    <mergeCell ref="L49:M49"/>
    <mergeCell ref="K47:K48"/>
    <mergeCell ref="C21:E21"/>
    <mergeCell ref="C22:E23"/>
    <mergeCell ref="A26:M26"/>
    <mergeCell ref="L47:M48"/>
    <mergeCell ref="J47:J48"/>
    <mergeCell ref="L36:M36"/>
    <mergeCell ref="F35:G35"/>
    <mergeCell ref="H35:I35"/>
    <mergeCell ref="A35:B35"/>
    <mergeCell ref="A56:B56"/>
    <mergeCell ref="D56:E56"/>
    <mergeCell ref="L56:M56"/>
    <mergeCell ref="G56:H56"/>
    <mergeCell ref="A55:B55"/>
    <mergeCell ref="D55:E55"/>
    <mergeCell ref="L55:M55"/>
    <mergeCell ref="G55:H55"/>
    <mergeCell ref="J22:K22"/>
    <mergeCell ref="J23:K23"/>
    <mergeCell ref="J24:K24"/>
    <mergeCell ref="F20:G20"/>
    <mergeCell ref="F21:G21"/>
    <mergeCell ref="F22:G22"/>
    <mergeCell ref="J20:K20"/>
    <mergeCell ref="H20:I20"/>
    <mergeCell ref="H22:I22"/>
    <mergeCell ref="H21:I21"/>
    <mergeCell ref="F34:G34"/>
    <mergeCell ref="H34:I34"/>
    <mergeCell ref="A20:B20"/>
    <mergeCell ref="A21:B23"/>
    <mergeCell ref="C24:E24"/>
    <mergeCell ref="A24:B24"/>
    <mergeCell ref="A34:B34"/>
    <mergeCell ref="C20:E20"/>
    <mergeCell ref="H30:I30"/>
    <mergeCell ref="A29:M29"/>
    <mergeCell ref="A30:B30"/>
    <mergeCell ref="L30:M30"/>
    <mergeCell ref="F23:G23"/>
    <mergeCell ref="F24:G24"/>
    <mergeCell ref="H23:I23"/>
    <mergeCell ref="H24:I24"/>
    <mergeCell ref="A54:B54"/>
    <mergeCell ref="D54:E54"/>
    <mergeCell ref="D37:D38"/>
    <mergeCell ref="E37:E38"/>
    <mergeCell ref="K31:K33"/>
    <mergeCell ref="F25:G25"/>
    <mergeCell ref="H25:I25"/>
    <mergeCell ref="J25:K25"/>
    <mergeCell ref="H33:I33"/>
    <mergeCell ref="F30:G30"/>
    <mergeCell ref="A52:B52"/>
    <mergeCell ref="D52:E52"/>
    <mergeCell ref="A51:B51"/>
    <mergeCell ref="D51:E51"/>
    <mergeCell ref="A25:B25"/>
    <mergeCell ref="C25:E25"/>
    <mergeCell ref="C30:E30"/>
    <mergeCell ref="A44:B48"/>
    <mergeCell ref="C47:C48"/>
    <mergeCell ref="D47:E48"/>
    <mergeCell ref="C66:F66"/>
    <mergeCell ref="G66:J66"/>
    <mergeCell ref="C62:F62"/>
    <mergeCell ref="G62:J62"/>
    <mergeCell ref="C69:J69"/>
    <mergeCell ref="F37:G38"/>
    <mergeCell ref="H37:I38"/>
    <mergeCell ref="G51:H51"/>
    <mergeCell ref="G47:H48"/>
    <mergeCell ref="I47:I48"/>
    <mergeCell ref="L51:M51"/>
    <mergeCell ref="G52:H52"/>
    <mergeCell ref="L52:M52"/>
    <mergeCell ref="G53:H53"/>
    <mergeCell ref="L53:M53"/>
    <mergeCell ref="C68:F68"/>
    <mergeCell ref="C65:F65"/>
    <mergeCell ref="G65:J65"/>
    <mergeCell ref="G68:J68"/>
    <mergeCell ref="L54:M54"/>
    <mergeCell ref="G54:H54"/>
    <mergeCell ref="A53:B53"/>
    <mergeCell ref="D53:E53"/>
    <mergeCell ref="A57:M57"/>
    <mergeCell ref="C67:F67"/>
    <mergeCell ref="C61:J61"/>
    <mergeCell ref="C63:F64"/>
    <mergeCell ref="G63:J63"/>
    <mergeCell ref="G64:J64"/>
    <mergeCell ref="G67:J67"/>
    <mergeCell ref="G43:H43"/>
    <mergeCell ref="F44:F46"/>
    <mergeCell ref="G44:H46"/>
    <mergeCell ref="F47:F48"/>
    <mergeCell ref="I12:M12"/>
    <mergeCell ref="J44:J46"/>
    <mergeCell ref="L43:M43"/>
    <mergeCell ref="I44:I46"/>
    <mergeCell ref="K44:K46"/>
    <mergeCell ref="L21:M22"/>
    <mergeCell ref="J37:J38"/>
    <mergeCell ref="L33:M33"/>
    <mergeCell ref="L34:M34"/>
    <mergeCell ref="L25:M25"/>
    <mergeCell ref="L31:M32"/>
    <mergeCell ref="L38:M38"/>
    <mergeCell ref="L35:M35"/>
    <mergeCell ref="L37:M37"/>
    <mergeCell ref="F33:G33"/>
    <mergeCell ref="A31:B33"/>
    <mergeCell ref="F31:G32"/>
    <mergeCell ref="H31:I32"/>
    <mergeCell ref="L44:M46"/>
    <mergeCell ref="A39:M39"/>
    <mergeCell ref="C31:E31"/>
    <mergeCell ref="C32:E32"/>
    <mergeCell ref="K37:K38"/>
    <mergeCell ref="J32:J33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1">
    <dataValidation type="list" allowBlank="1" showInputMessage="1" showErrorMessage="1" sqref="AO42">
      <formula1>Local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I13:M13">
      <formula1>IApproach</formula1>
    </dataValidation>
    <dataValidation allowBlank="1" showInputMessage="1" showErrorMessage="1" errorTitle="Invalid" sqref="L27:M27"/>
    <dataValidation type="whole" allowBlank="1" showInputMessage="1" showErrorMessage="1" sqref="I11:M11">
      <formula1>0</formula1>
      <formula2>23000</formula2>
    </dataValidation>
    <dataValidation type="list" operator="greaterThan" allowBlank="1" showInputMessage="1" showErrorMessage="1" sqref="I9:M9">
      <formula1>IType</formula1>
    </dataValidation>
    <dataValidation type="whole" allowBlank="1" showInputMessage="1" showErrorMessage="1" sqref="I12:M12">
      <formula1>0</formula1>
      <formula2>90</formula2>
    </dataValidation>
    <dataValidation type="whole" allowBlank="1" showInputMessage="1" showErrorMessage="1" sqref="I10:M10">
      <formula1>0</formula1>
      <formula2>78300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6:M16">
      <formula1>0</formula1>
      <formula2>10</formula2>
    </dataValidation>
    <dataValidation type="list" allowBlank="1" showInputMessage="1" showErrorMessage="1" sqref="I14:M14">
      <formula1>RtApproach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8" width="12.7109375" style="0" customWidth="1"/>
  </cols>
  <sheetData>
    <row r="1" ht="12.75">
      <c r="B1" s="151" t="s">
        <v>387</v>
      </c>
    </row>
    <row r="2" ht="13.5" thickBot="1"/>
    <row r="3" spans="2:12" ht="13.5" thickTop="1">
      <c r="B3" s="389" t="s">
        <v>426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2:12" ht="13.5" thickBot="1"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2:12" ht="12.75">
      <c r="B5" s="395" t="s">
        <v>64</v>
      </c>
      <c r="C5" s="513"/>
      <c r="D5" s="514"/>
      <c r="E5" s="440" t="s">
        <v>186</v>
      </c>
      <c r="F5" s="440"/>
      <c r="G5" s="440"/>
      <c r="H5" s="440"/>
      <c r="I5" s="440"/>
      <c r="J5" s="440"/>
      <c r="K5" s="415"/>
      <c r="L5" s="416"/>
    </row>
    <row r="6" spans="2:12" ht="12.75">
      <c r="B6" s="397"/>
      <c r="C6" s="397"/>
      <c r="D6" s="398"/>
      <c r="E6" s="394" t="s">
        <v>62</v>
      </c>
      <c r="F6" s="394"/>
      <c r="G6" s="394"/>
      <c r="H6" s="247"/>
      <c r="I6" s="244" t="s">
        <v>63</v>
      </c>
      <c r="J6" s="247"/>
      <c r="K6" s="247"/>
      <c r="L6" s="310"/>
    </row>
    <row r="7" spans="2:12" ht="12.75">
      <c r="B7" s="519" t="s">
        <v>90</v>
      </c>
      <c r="C7" s="403"/>
      <c r="D7" s="154" t="s">
        <v>89</v>
      </c>
      <c r="E7" s="384" t="s">
        <v>39</v>
      </c>
      <c r="F7" s="317" t="s">
        <v>80</v>
      </c>
      <c r="G7" s="317" t="s">
        <v>193</v>
      </c>
      <c r="H7" s="317" t="s">
        <v>194</v>
      </c>
      <c r="I7" s="384" t="s">
        <v>39</v>
      </c>
      <c r="J7" s="317" t="s">
        <v>80</v>
      </c>
      <c r="K7" s="317" t="s">
        <v>193</v>
      </c>
      <c r="L7" s="386" t="s">
        <v>194</v>
      </c>
    </row>
    <row r="8" spans="2:12" ht="13.5" thickBot="1">
      <c r="B8" s="328"/>
      <c r="C8" s="328"/>
      <c r="D8" s="285"/>
      <c r="E8" s="515"/>
      <c r="F8" s="510"/>
      <c r="G8" s="510"/>
      <c r="H8" s="510"/>
      <c r="I8" s="515"/>
      <c r="J8" s="510"/>
      <c r="K8" s="510"/>
      <c r="L8" s="511"/>
    </row>
    <row r="9" spans="2:12" ht="12.75">
      <c r="B9" s="508" t="s">
        <v>239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</row>
    <row r="10" spans="2:12" ht="12.75">
      <c r="B10" s="390" t="s">
        <v>187</v>
      </c>
      <c r="C10" s="391"/>
      <c r="D10" s="391"/>
      <c r="E10" s="98">
        <v>0.029</v>
      </c>
      <c r="F10" s="98">
        <v>0.043</v>
      </c>
      <c r="G10" s="98">
        <v>0.052</v>
      </c>
      <c r="H10" s="3">
        <v>0.02</v>
      </c>
      <c r="I10" s="156"/>
      <c r="J10" s="156">
        <v>0.1</v>
      </c>
      <c r="K10" s="156">
        <v>0.2</v>
      </c>
      <c r="L10" s="157">
        <v>0.3</v>
      </c>
    </row>
    <row r="11" spans="2:12" ht="12.75">
      <c r="B11" s="390" t="s">
        <v>188</v>
      </c>
      <c r="C11" s="391"/>
      <c r="D11" s="391"/>
      <c r="E11" s="3">
        <v>0.133</v>
      </c>
      <c r="F11" s="3">
        <v>0.058</v>
      </c>
      <c r="G11" s="3">
        <v>0.057</v>
      </c>
      <c r="H11" s="3">
        <v>0.179</v>
      </c>
      <c r="I11" s="156"/>
      <c r="J11" s="156"/>
      <c r="K11" s="156"/>
      <c r="L11" s="157"/>
    </row>
    <row r="12" spans="2:12" ht="12.75">
      <c r="B12" s="390" t="s">
        <v>189</v>
      </c>
      <c r="C12" s="391"/>
      <c r="D12" s="391"/>
      <c r="E12" s="3">
        <v>0.289</v>
      </c>
      <c r="F12" s="3">
        <v>0.247</v>
      </c>
      <c r="G12" s="3">
        <v>0.142</v>
      </c>
      <c r="H12" s="3">
        <v>0.315</v>
      </c>
      <c r="I12" s="156"/>
      <c r="J12" s="156"/>
      <c r="K12" s="156"/>
      <c r="L12" s="157"/>
    </row>
    <row r="13" spans="2:12" ht="12.75">
      <c r="B13" s="390" t="s">
        <v>190</v>
      </c>
      <c r="C13" s="391"/>
      <c r="D13" s="391"/>
      <c r="E13" s="3">
        <v>0.263</v>
      </c>
      <c r="F13" s="3">
        <v>0.369</v>
      </c>
      <c r="G13" s="3">
        <v>0.381</v>
      </c>
      <c r="H13" s="3">
        <v>0.198</v>
      </c>
      <c r="I13" s="156"/>
      <c r="J13" s="156"/>
      <c r="K13" s="156"/>
      <c r="L13" s="157"/>
    </row>
    <row r="14" spans="2:12" ht="12.75">
      <c r="B14" s="390" t="s">
        <v>191</v>
      </c>
      <c r="C14" s="391"/>
      <c r="D14" s="391"/>
      <c r="E14" s="3">
        <v>0.234</v>
      </c>
      <c r="F14" s="3">
        <v>0.219</v>
      </c>
      <c r="G14" s="3">
        <v>0.284</v>
      </c>
      <c r="H14" s="3">
        <v>0.244</v>
      </c>
      <c r="I14" s="156"/>
      <c r="J14" s="156"/>
      <c r="K14" s="156"/>
      <c r="L14" s="157"/>
    </row>
    <row r="15" spans="2:12" ht="13.5" thickBot="1">
      <c r="B15" s="433" t="s">
        <v>192</v>
      </c>
      <c r="C15" s="434"/>
      <c r="D15" s="434"/>
      <c r="E15" s="71">
        <v>0.052</v>
      </c>
      <c r="F15" s="71">
        <v>0.064</v>
      </c>
      <c r="G15" s="71">
        <v>0.084</v>
      </c>
      <c r="H15" s="71">
        <v>0.044</v>
      </c>
      <c r="I15" s="162"/>
      <c r="J15" s="162"/>
      <c r="K15" s="162"/>
      <c r="L15" s="163"/>
    </row>
    <row r="16" spans="2:12" ht="14.25" thickBot="1" thickTop="1">
      <c r="B16" s="392" t="s">
        <v>212</v>
      </c>
      <c r="C16" s="393"/>
      <c r="D16" s="393"/>
      <c r="E16" s="118">
        <v>0.5</v>
      </c>
      <c r="F16" s="118"/>
      <c r="G16" s="118"/>
      <c r="H16" s="118"/>
      <c r="I16" s="160">
        <v>0.33</v>
      </c>
      <c r="J16" s="160"/>
      <c r="K16" s="160"/>
      <c r="L16" s="161"/>
    </row>
    <row r="17" spans="2:12" ht="12.75">
      <c r="B17" s="508" t="s">
        <v>238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</row>
    <row r="18" spans="2:12" ht="12.75">
      <c r="B18" s="390" t="s">
        <v>187</v>
      </c>
      <c r="C18" s="391"/>
      <c r="D18" s="391"/>
      <c r="E18" s="98">
        <v>0.016</v>
      </c>
      <c r="F18" s="98">
        <v>0.018</v>
      </c>
      <c r="G18" s="98">
        <v>0.023</v>
      </c>
      <c r="H18" s="3">
        <v>0.015</v>
      </c>
      <c r="I18" s="156"/>
      <c r="J18" s="156">
        <v>0.4</v>
      </c>
      <c r="K18" s="156">
        <v>0.5</v>
      </c>
      <c r="L18" s="157">
        <v>0.6</v>
      </c>
    </row>
    <row r="19" spans="2:12" ht="12.75">
      <c r="B19" s="390" t="s">
        <v>188</v>
      </c>
      <c r="C19" s="391"/>
      <c r="D19" s="391"/>
      <c r="E19" s="3">
        <v>0.107</v>
      </c>
      <c r="F19" s="3">
        <v>0.042</v>
      </c>
      <c r="G19" s="3">
        <v>0.04</v>
      </c>
      <c r="H19" s="3">
        <v>0.156</v>
      </c>
      <c r="I19" s="156"/>
      <c r="J19" s="156"/>
      <c r="K19" s="156"/>
      <c r="L19" s="157"/>
    </row>
    <row r="20" spans="2:12" ht="12.75">
      <c r="B20" s="390" t="s">
        <v>189</v>
      </c>
      <c r="C20" s="391"/>
      <c r="D20" s="391"/>
      <c r="E20" s="3">
        <v>0.228</v>
      </c>
      <c r="F20" s="3">
        <v>0.213</v>
      </c>
      <c r="G20" s="3">
        <v>0.108</v>
      </c>
      <c r="H20" s="3">
        <v>0.24</v>
      </c>
      <c r="I20" s="156"/>
      <c r="J20" s="156"/>
      <c r="K20" s="156"/>
      <c r="L20" s="157"/>
    </row>
    <row r="21" spans="2:12" ht="12.75">
      <c r="B21" s="390" t="s">
        <v>190</v>
      </c>
      <c r="C21" s="391"/>
      <c r="D21" s="391"/>
      <c r="E21" s="3">
        <v>0.395</v>
      </c>
      <c r="F21" s="3">
        <v>0.534</v>
      </c>
      <c r="G21" s="3">
        <v>0.571</v>
      </c>
      <c r="H21" s="3">
        <v>0.292</v>
      </c>
      <c r="I21" s="156"/>
      <c r="J21" s="156"/>
      <c r="K21" s="156"/>
      <c r="L21" s="157"/>
    </row>
    <row r="22" spans="2:12" ht="12.75">
      <c r="B22" s="390" t="s">
        <v>191</v>
      </c>
      <c r="C22" s="391"/>
      <c r="D22" s="391"/>
      <c r="E22" s="3">
        <v>0.202</v>
      </c>
      <c r="F22" s="3">
        <v>0.148</v>
      </c>
      <c r="G22" s="3">
        <v>0.199</v>
      </c>
      <c r="H22" s="3">
        <v>0.243</v>
      </c>
      <c r="I22" s="156"/>
      <c r="J22" s="156"/>
      <c r="K22" s="156"/>
      <c r="L22" s="157"/>
    </row>
    <row r="23" spans="2:12" ht="13.5" thickBot="1">
      <c r="B23" s="433" t="s">
        <v>192</v>
      </c>
      <c r="C23" s="434"/>
      <c r="D23" s="434"/>
      <c r="E23" s="71">
        <v>0.052</v>
      </c>
      <c r="F23" s="71">
        <v>0.045</v>
      </c>
      <c r="G23" s="71">
        <v>0.059</v>
      </c>
      <c r="H23" s="71">
        <v>0.054</v>
      </c>
      <c r="I23" s="162"/>
      <c r="J23" s="162"/>
      <c r="K23" s="162"/>
      <c r="L23" s="163"/>
    </row>
    <row r="24" spans="2:12" ht="14.25" thickBot="1" thickTop="1">
      <c r="B24" s="392" t="s">
        <v>212</v>
      </c>
      <c r="C24" s="393"/>
      <c r="D24" s="393"/>
      <c r="E24" s="118">
        <v>0.5</v>
      </c>
      <c r="F24" s="118"/>
      <c r="G24" s="118"/>
      <c r="H24" s="118"/>
      <c r="I24" s="160">
        <v>0.33</v>
      </c>
      <c r="J24" s="160"/>
      <c r="K24" s="160"/>
      <c r="L24" s="161"/>
    </row>
    <row r="25" spans="2:12" ht="12.75">
      <c r="B25" s="508" t="s">
        <v>79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</row>
    <row r="26" spans="2:12" ht="12.75">
      <c r="B26" s="390" t="s">
        <v>187</v>
      </c>
      <c r="C26" s="391"/>
      <c r="D26" s="391"/>
      <c r="E26" s="98">
        <v>0.054</v>
      </c>
      <c r="F26" s="98">
        <v>0.083</v>
      </c>
      <c r="G26" s="98">
        <v>0.093</v>
      </c>
      <c r="H26" s="3">
        <v>0.034</v>
      </c>
      <c r="I26" s="156"/>
      <c r="J26" s="156">
        <v>0.7</v>
      </c>
      <c r="K26" s="156">
        <v>0.8</v>
      </c>
      <c r="L26" s="157">
        <v>0.9</v>
      </c>
    </row>
    <row r="27" spans="2:12" ht="12.75">
      <c r="B27" s="390" t="s">
        <v>188</v>
      </c>
      <c r="C27" s="391"/>
      <c r="D27" s="391"/>
      <c r="E27" s="3">
        <v>0.106</v>
      </c>
      <c r="F27" s="3">
        <v>0.047</v>
      </c>
      <c r="G27" s="3">
        <v>0.039</v>
      </c>
      <c r="H27" s="3">
        <v>0.147</v>
      </c>
      <c r="I27" s="156"/>
      <c r="J27" s="156"/>
      <c r="K27" s="156"/>
      <c r="L27" s="157"/>
    </row>
    <row r="28" spans="2:12" ht="12.75">
      <c r="B28" s="390" t="s">
        <v>189</v>
      </c>
      <c r="C28" s="391"/>
      <c r="D28" s="391"/>
      <c r="E28" s="3">
        <v>0.492</v>
      </c>
      <c r="F28" s="3">
        <v>0.472</v>
      </c>
      <c r="G28" s="3">
        <v>0.314</v>
      </c>
      <c r="H28" s="3">
        <v>0.505</v>
      </c>
      <c r="I28" s="156"/>
      <c r="J28" s="156"/>
      <c r="K28" s="156"/>
      <c r="L28" s="157"/>
    </row>
    <row r="29" spans="2:12" ht="12.75">
      <c r="B29" s="390" t="s">
        <v>190</v>
      </c>
      <c r="C29" s="391"/>
      <c r="D29" s="391"/>
      <c r="E29" s="3">
        <v>0.256</v>
      </c>
      <c r="F29" s="3">
        <v>0.315</v>
      </c>
      <c r="G29" s="3">
        <v>0.407</v>
      </c>
      <c r="H29" s="3">
        <v>0.215</v>
      </c>
      <c r="I29" s="156"/>
      <c r="J29" s="156"/>
      <c r="K29" s="156"/>
      <c r="L29" s="157"/>
    </row>
    <row r="30" spans="2:12" ht="12.75">
      <c r="B30" s="390" t="s">
        <v>191</v>
      </c>
      <c r="C30" s="391"/>
      <c r="D30" s="391"/>
      <c r="E30" s="3">
        <v>0.062</v>
      </c>
      <c r="F30" s="3">
        <v>0.041</v>
      </c>
      <c r="G30" s="3">
        <v>0.078</v>
      </c>
      <c r="H30" s="3">
        <v>0.077</v>
      </c>
      <c r="I30" s="156"/>
      <c r="J30" s="156"/>
      <c r="K30" s="156"/>
      <c r="L30" s="157"/>
    </row>
    <row r="31" spans="2:12" ht="13.5" thickBot="1">
      <c r="B31" s="433" t="s">
        <v>192</v>
      </c>
      <c r="C31" s="434"/>
      <c r="D31" s="434"/>
      <c r="E31" s="71">
        <v>0.03</v>
      </c>
      <c r="F31" s="71">
        <v>0.042</v>
      </c>
      <c r="G31" s="71">
        <v>0.069</v>
      </c>
      <c r="H31" s="71">
        <v>0.022</v>
      </c>
      <c r="I31" s="162"/>
      <c r="J31" s="162"/>
      <c r="K31" s="162"/>
      <c r="L31" s="163"/>
    </row>
    <row r="32" spans="2:12" ht="14.25" thickBot="1" thickTop="1">
      <c r="B32" s="392" t="s">
        <v>212</v>
      </c>
      <c r="C32" s="393"/>
      <c r="D32" s="393"/>
      <c r="E32" s="118">
        <v>0.5</v>
      </c>
      <c r="F32" s="118"/>
      <c r="G32" s="118"/>
      <c r="H32" s="118"/>
      <c r="I32" s="160">
        <v>0.33</v>
      </c>
      <c r="J32" s="160"/>
      <c r="K32" s="160"/>
      <c r="L32" s="161"/>
    </row>
    <row r="33" spans="2:12" ht="12.75">
      <c r="B33" s="227" t="s">
        <v>155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  <row r="34" spans="2:12" ht="12.75">
      <c r="B34" s="33"/>
      <c r="C34" s="33"/>
      <c r="D34" s="33"/>
      <c r="E34" s="50"/>
      <c r="F34" s="33"/>
      <c r="G34" s="33"/>
      <c r="H34" s="33"/>
      <c r="I34" s="33"/>
      <c r="J34" s="33"/>
      <c r="K34" s="33"/>
      <c r="L34" s="33"/>
    </row>
    <row r="35" spans="2:12" ht="13.5" thickBot="1">
      <c r="B35" s="39"/>
      <c r="C35" s="39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3.5" thickTop="1">
      <c r="B36" s="389" t="s">
        <v>445</v>
      </c>
      <c r="C36" s="389"/>
      <c r="D36" s="389"/>
      <c r="E36" s="389"/>
      <c r="F36" s="389"/>
      <c r="G36" s="389"/>
      <c r="H36" s="389"/>
      <c r="I36" s="389"/>
      <c r="J36" s="389"/>
      <c r="K36" s="380"/>
      <c r="L36" s="380"/>
    </row>
    <row r="37" spans="2:12" ht="13.5" thickBot="1">
      <c r="B37" s="202"/>
      <c r="C37" s="202"/>
      <c r="D37" s="202"/>
      <c r="E37" s="202"/>
      <c r="F37" s="202"/>
      <c r="G37" s="202"/>
      <c r="H37" s="202"/>
      <c r="I37" s="202"/>
      <c r="J37" s="202"/>
      <c r="K37" s="382"/>
      <c r="L37" s="382"/>
    </row>
    <row r="38" spans="2:12" ht="12.75">
      <c r="B38" s="411" t="s">
        <v>85</v>
      </c>
      <c r="C38" s="412"/>
      <c r="D38" s="412"/>
      <c r="E38" s="413" t="s">
        <v>62</v>
      </c>
      <c r="F38" s="413"/>
      <c r="G38" s="413"/>
      <c r="H38" s="413"/>
      <c r="I38" s="414" t="s">
        <v>63</v>
      </c>
      <c r="J38" s="415"/>
      <c r="K38" s="415"/>
      <c r="L38" s="416"/>
    </row>
    <row r="39" spans="2:12" ht="12.75">
      <c r="B39" s="238"/>
      <c r="C39" s="237"/>
      <c r="D39" s="237"/>
      <c r="E39" s="410" t="s">
        <v>202</v>
      </c>
      <c r="F39" s="292"/>
      <c r="G39" s="410" t="s">
        <v>84</v>
      </c>
      <c r="H39" s="289"/>
      <c r="I39" s="410" t="s">
        <v>202</v>
      </c>
      <c r="J39" s="292"/>
      <c r="K39" s="410" t="s">
        <v>84</v>
      </c>
      <c r="L39" s="288"/>
    </row>
    <row r="40" spans="2:12" ht="12.75">
      <c r="B40" s="403" t="s">
        <v>90</v>
      </c>
      <c r="C40" s="210"/>
      <c r="D40" s="155" t="s">
        <v>89</v>
      </c>
      <c r="E40" s="292"/>
      <c r="F40" s="292"/>
      <c r="G40" s="289"/>
      <c r="H40" s="289"/>
      <c r="I40" s="292"/>
      <c r="J40" s="292"/>
      <c r="K40" s="289"/>
      <c r="L40" s="288"/>
    </row>
    <row r="41" spans="2:12" ht="12.75">
      <c r="B41" s="417"/>
      <c r="C41" s="247"/>
      <c r="D41" s="247"/>
      <c r="E41" s="289"/>
      <c r="F41" s="289"/>
      <c r="G41" s="289"/>
      <c r="H41" s="289"/>
      <c r="I41" s="289"/>
      <c r="J41" s="289"/>
      <c r="K41" s="289"/>
      <c r="L41" s="288"/>
    </row>
    <row r="42" spans="2:12" ht="12.75">
      <c r="B42" s="285"/>
      <c r="C42" s="247"/>
      <c r="D42" s="247"/>
      <c r="E42" s="404" t="s">
        <v>236</v>
      </c>
      <c r="F42" s="404" t="s">
        <v>204</v>
      </c>
      <c r="G42" s="406" t="s">
        <v>235</v>
      </c>
      <c r="H42" s="405"/>
      <c r="I42" s="404" t="s">
        <v>203</v>
      </c>
      <c r="J42" s="404" t="s">
        <v>204</v>
      </c>
      <c r="K42" s="406" t="s">
        <v>205</v>
      </c>
      <c r="L42" s="407"/>
    </row>
    <row r="43" spans="2:12" ht="12.75">
      <c r="B43" s="285"/>
      <c r="C43" s="247"/>
      <c r="D43" s="247"/>
      <c r="E43" s="405"/>
      <c r="F43" s="405"/>
      <c r="G43" s="405"/>
      <c r="H43" s="405"/>
      <c r="I43" s="405"/>
      <c r="J43" s="405"/>
      <c r="K43" s="405"/>
      <c r="L43" s="407"/>
    </row>
    <row r="44" spans="2:12" ht="12.75">
      <c r="B44" s="512" t="s">
        <v>99</v>
      </c>
      <c r="C44" s="210"/>
      <c r="D44" s="210"/>
      <c r="E44" s="123"/>
      <c r="F44" s="123"/>
      <c r="G44" s="516">
        <v>0.276</v>
      </c>
      <c r="H44" s="210"/>
      <c r="I44" s="156"/>
      <c r="J44" s="156"/>
      <c r="K44" s="517"/>
      <c r="L44" s="518"/>
    </row>
    <row r="45" spans="2:12" ht="13.5" thickBot="1">
      <c r="B45" s="421" t="s">
        <v>100</v>
      </c>
      <c r="C45" s="422"/>
      <c r="D45" s="422"/>
      <c r="E45" s="113"/>
      <c r="F45" s="113"/>
      <c r="G45" s="423">
        <v>0.273</v>
      </c>
      <c r="H45" s="422"/>
      <c r="I45" s="162"/>
      <c r="J45" s="162"/>
      <c r="K45" s="408"/>
      <c r="L45" s="409"/>
    </row>
  </sheetData>
  <sheetProtection/>
  <mergeCells count="62">
    <mergeCell ref="I7:I8"/>
    <mergeCell ref="J7:J8"/>
    <mergeCell ref="B8:D8"/>
    <mergeCell ref="B10:D10"/>
    <mergeCell ref="B11:D11"/>
    <mergeCell ref="B12:D12"/>
    <mergeCell ref="G7:G8"/>
    <mergeCell ref="H7:H8"/>
    <mergeCell ref="B7:C7"/>
    <mergeCell ref="B20:D20"/>
    <mergeCell ref="B40:C40"/>
    <mergeCell ref="B41:D43"/>
    <mergeCell ref="B21:D21"/>
    <mergeCell ref="B22:D22"/>
    <mergeCell ref="B13:D13"/>
    <mergeCell ref="B17:L17"/>
    <mergeCell ref="B18:D18"/>
    <mergeCell ref="K44:L44"/>
    <mergeCell ref="K39:L41"/>
    <mergeCell ref="I39:J41"/>
    <mergeCell ref="B19:D19"/>
    <mergeCell ref="B38:D39"/>
    <mergeCell ref="E38:H38"/>
    <mergeCell ref="I38:L38"/>
    <mergeCell ref="E39:F41"/>
    <mergeCell ref="B3:L4"/>
    <mergeCell ref="B23:D23"/>
    <mergeCell ref="B24:D24"/>
    <mergeCell ref="B9:L9"/>
    <mergeCell ref="B5:D6"/>
    <mergeCell ref="E7:E8"/>
    <mergeCell ref="F7:F8"/>
    <mergeCell ref="E5:L5"/>
    <mergeCell ref="E6:H6"/>
    <mergeCell ref="I6:L6"/>
    <mergeCell ref="B45:D45"/>
    <mergeCell ref="G45:H45"/>
    <mergeCell ref="K45:L45"/>
    <mergeCell ref="K42:L43"/>
    <mergeCell ref="B44:D44"/>
    <mergeCell ref="B36:L37"/>
    <mergeCell ref="G39:H41"/>
    <mergeCell ref="G44:H44"/>
    <mergeCell ref="B25:L25"/>
    <mergeCell ref="B26:D26"/>
    <mergeCell ref="B27:D27"/>
    <mergeCell ref="B28:D28"/>
    <mergeCell ref="B29:D29"/>
    <mergeCell ref="K7:K8"/>
    <mergeCell ref="L7:L8"/>
    <mergeCell ref="B14:D14"/>
    <mergeCell ref="B15:D15"/>
    <mergeCell ref="B16:D16"/>
    <mergeCell ref="G42:H43"/>
    <mergeCell ref="I42:I43"/>
    <mergeCell ref="J42:J43"/>
    <mergeCell ref="B30:D30"/>
    <mergeCell ref="E42:E43"/>
    <mergeCell ref="F42:F43"/>
    <mergeCell ref="B33:L33"/>
    <mergeCell ref="B31:D31"/>
    <mergeCell ref="B32:D32"/>
  </mergeCells>
  <dataValidations count="1">
    <dataValidation type="list" allowBlank="1" showInputMessage="1" showErrorMessage="1" sqref="D7 D40">
      <formula1>Local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8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7" width="13.7109375" style="39" customWidth="1"/>
    <col min="8" max="8" width="15.28125" style="39" customWidth="1"/>
    <col min="9" max="9" width="13.7109375" style="39" customWidth="1"/>
    <col min="10" max="10" width="15.8515625" style="39" customWidth="1"/>
    <col min="11" max="17" width="13.7109375" style="39" customWidth="1"/>
    <col min="18" max="27" width="12.7109375" style="39" customWidth="1"/>
    <col min="28" max="33" width="9.140625" style="39" customWidth="1"/>
    <col min="34" max="34" width="11.00390625" style="39" customWidth="1"/>
    <col min="35" max="35" width="12.421875" style="39" customWidth="1"/>
    <col min="36" max="36" width="10.421875" style="39" customWidth="1"/>
    <col min="37" max="37" width="10.7109375" style="39" customWidth="1"/>
    <col min="38" max="38" width="12.421875" style="39" customWidth="1"/>
    <col min="39" max="39" width="10.421875" style="39" customWidth="1"/>
    <col min="40" max="40" width="11.7109375" style="39" customWidth="1"/>
    <col min="41" max="41" width="10.421875" style="39" customWidth="1"/>
    <col min="42" max="43" width="9.140625" style="39" customWidth="1"/>
    <col min="44" max="44" width="10.140625" style="39" customWidth="1"/>
    <col min="45" max="16384" width="9.140625" style="39" customWidth="1"/>
  </cols>
  <sheetData>
    <row r="1" spans="12:21" ht="12.75">
      <c r="L1" s="40"/>
      <c r="O1" s="33"/>
      <c r="U1" s="95"/>
    </row>
    <row r="2" spans="12:21" ht="13.5" thickBot="1">
      <c r="L2" s="40"/>
      <c r="O2" s="33"/>
      <c r="U2" s="95"/>
    </row>
    <row r="3" spans="1:53" ht="13.5" thickTop="1">
      <c r="A3" s="51"/>
      <c r="B3" s="555" t="s">
        <v>277</v>
      </c>
      <c r="C3" s="556"/>
      <c r="D3" s="556"/>
      <c r="E3" s="556"/>
      <c r="F3" s="556"/>
      <c r="G3" s="556"/>
      <c r="H3" s="556"/>
      <c r="I3" s="556"/>
      <c r="J3" s="556"/>
      <c r="K3" s="91"/>
      <c r="L3" s="60"/>
      <c r="M3" s="60"/>
      <c r="N3" s="60"/>
      <c r="O3" s="60"/>
      <c r="P3" s="60"/>
      <c r="Q3" s="60"/>
      <c r="R3" s="60"/>
      <c r="S3" s="60"/>
      <c r="T3" s="60"/>
      <c r="U3" s="101"/>
      <c r="V3" s="101"/>
      <c r="W3" s="62"/>
      <c r="X3" s="62"/>
      <c r="Y3" s="62"/>
      <c r="AH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3.5" thickBot="1">
      <c r="A4" s="62"/>
      <c r="B4" s="557"/>
      <c r="C4" s="557"/>
      <c r="D4" s="557"/>
      <c r="E4" s="557"/>
      <c r="F4" s="557"/>
      <c r="G4" s="557"/>
      <c r="H4" s="557"/>
      <c r="I4" s="557"/>
      <c r="J4" s="557"/>
      <c r="K4" s="33"/>
      <c r="L4" s="60"/>
      <c r="M4" s="60"/>
      <c r="N4" s="60"/>
      <c r="O4" s="60"/>
      <c r="P4" s="60"/>
      <c r="Q4" s="60"/>
      <c r="R4" s="60"/>
      <c r="S4" s="60"/>
      <c r="T4" s="60"/>
      <c r="U4" s="101"/>
      <c r="V4" s="101"/>
      <c r="W4" s="33"/>
      <c r="X4" s="33"/>
      <c r="Y4" s="33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2:53" ht="12.75">
      <c r="B5" s="230" t="s">
        <v>19</v>
      </c>
      <c r="C5" s="303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129" t="s">
        <v>26</v>
      </c>
      <c r="K5" s="64"/>
      <c r="L5" s="59"/>
      <c r="M5" s="59"/>
      <c r="N5" s="59"/>
      <c r="O5" s="91"/>
      <c r="P5" s="91"/>
      <c r="Q5" s="91"/>
      <c r="R5" s="91"/>
      <c r="S5" s="91"/>
      <c r="T5" s="91"/>
      <c r="W5" s="91"/>
      <c r="X5" s="91"/>
      <c r="Y5" s="91"/>
      <c r="AH5" s="62"/>
      <c r="AI5" s="62"/>
      <c r="AJ5" s="62"/>
      <c r="AK5" s="33"/>
      <c r="AL5" s="62"/>
      <c r="AM5" s="33"/>
      <c r="AN5" s="33"/>
      <c r="AO5" s="33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2:53" ht="12.75" customHeight="1">
      <c r="B6" s="545" t="s">
        <v>241</v>
      </c>
      <c r="C6" s="546"/>
      <c r="D6" s="410" t="s">
        <v>50</v>
      </c>
      <c r="E6" s="530"/>
      <c r="F6" s="530"/>
      <c r="G6" s="539" t="s">
        <v>275</v>
      </c>
      <c r="H6" s="539" t="s">
        <v>37</v>
      </c>
      <c r="I6" s="539" t="s">
        <v>278</v>
      </c>
      <c r="J6" s="561" t="s">
        <v>279</v>
      </c>
      <c r="L6" s="101"/>
      <c r="M6" s="101"/>
      <c r="N6" s="101"/>
      <c r="O6" s="91"/>
      <c r="P6" s="91"/>
      <c r="Q6" s="91"/>
      <c r="S6" s="62"/>
      <c r="W6" s="62"/>
      <c r="X6" s="62"/>
      <c r="Y6" s="62"/>
      <c r="AH6" s="62"/>
      <c r="AI6" s="62"/>
      <c r="AJ6" s="33"/>
      <c r="AK6" s="33"/>
      <c r="AL6" s="33"/>
      <c r="AM6" s="33"/>
      <c r="AN6" s="33"/>
      <c r="AO6" s="33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2:53" ht="12.75">
      <c r="B7" s="463"/>
      <c r="C7" s="464"/>
      <c r="D7" s="530"/>
      <c r="E7" s="530"/>
      <c r="F7" s="530"/>
      <c r="G7" s="256"/>
      <c r="H7" s="405"/>
      <c r="I7" s="256"/>
      <c r="J7" s="261"/>
      <c r="L7" s="56"/>
      <c r="M7" s="33"/>
      <c r="N7" s="33"/>
      <c r="O7" s="57"/>
      <c r="P7" s="57"/>
      <c r="Q7" s="57"/>
      <c r="R7" s="57"/>
      <c r="S7" s="57"/>
      <c r="T7" s="57"/>
      <c r="U7" s="57"/>
      <c r="V7" s="57"/>
      <c r="W7" s="33"/>
      <c r="X7" s="62"/>
      <c r="Y7" s="33"/>
      <c r="AH7" s="33"/>
      <c r="AI7" s="33"/>
      <c r="AJ7" s="33"/>
      <c r="AK7" s="33"/>
      <c r="AL7" s="125"/>
      <c r="AM7" s="125"/>
      <c r="AN7" s="125"/>
      <c r="AO7" s="125"/>
      <c r="AR7" s="41"/>
      <c r="AS7" s="38"/>
      <c r="AT7" s="38"/>
      <c r="AU7" s="38"/>
      <c r="AV7" s="38"/>
      <c r="AW7" s="38"/>
      <c r="AX7" s="38"/>
      <c r="AY7" s="38"/>
      <c r="AZ7" s="38"/>
      <c r="BA7" s="38"/>
    </row>
    <row r="8" spans="2:53" ht="12.75" customHeight="1">
      <c r="B8" s="463"/>
      <c r="C8" s="464"/>
      <c r="D8" s="289"/>
      <c r="E8" s="289"/>
      <c r="F8" s="289"/>
      <c r="G8" s="256"/>
      <c r="H8" s="405"/>
      <c r="I8" s="464"/>
      <c r="J8" s="562"/>
      <c r="K8" s="65"/>
      <c r="O8" s="53"/>
      <c r="P8" s="53"/>
      <c r="Q8" s="53"/>
      <c r="R8" s="53"/>
      <c r="S8" s="53"/>
      <c r="T8" s="53"/>
      <c r="U8" s="53"/>
      <c r="V8" s="53"/>
      <c r="W8" s="33"/>
      <c r="X8" s="33"/>
      <c r="Y8" s="33"/>
      <c r="AH8" s="33"/>
      <c r="AI8" s="33"/>
      <c r="AJ8" s="33"/>
      <c r="AK8" s="33"/>
      <c r="AL8" s="126"/>
      <c r="AM8" s="126"/>
      <c r="AN8" s="126"/>
      <c r="AO8" s="126"/>
      <c r="AR8" s="41"/>
      <c r="AS8" s="38"/>
      <c r="AT8" s="38"/>
      <c r="AU8" s="38"/>
      <c r="AV8" s="38"/>
      <c r="AW8" s="38"/>
      <c r="AX8" s="38"/>
      <c r="AY8" s="38"/>
      <c r="AZ8" s="38"/>
      <c r="BA8" s="38"/>
    </row>
    <row r="9" spans="1:53" ht="12.75">
      <c r="A9" s="62"/>
      <c r="B9" s="463"/>
      <c r="C9" s="464"/>
      <c r="D9" s="406" t="s">
        <v>245</v>
      </c>
      <c r="E9" s="406" t="s">
        <v>294</v>
      </c>
      <c r="F9" s="406" t="s">
        <v>246</v>
      </c>
      <c r="G9" s="256"/>
      <c r="H9" s="405"/>
      <c r="I9" s="406" t="s">
        <v>280</v>
      </c>
      <c r="J9" s="559" t="s">
        <v>281</v>
      </c>
      <c r="K9" s="64"/>
      <c r="M9" s="103"/>
      <c r="N9" s="103"/>
      <c r="O9" s="104"/>
      <c r="P9" s="104"/>
      <c r="Q9" s="104"/>
      <c r="R9" s="50"/>
      <c r="S9" s="50"/>
      <c r="T9" s="50"/>
      <c r="U9" s="50"/>
      <c r="V9" s="50"/>
      <c r="AH9" s="56"/>
      <c r="AI9" s="33"/>
      <c r="AJ9" s="75"/>
      <c r="AK9" s="33"/>
      <c r="AL9" s="120"/>
      <c r="AM9" s="120"/>
      <c r="AN9" s="127"/>
      <c r="AO9" s="127"/>
      <c r="AR9" s="41"/>
      <c r="AS9" s="38"/>
      <c r="AT9" s="38"/>
      <c r="AU9" s="38"/>
      <c r="AV9" s="38"/>
      <c r="AW9" s="38"/>
      <c r="AX9" s="38"/>
      <c r="AY9" s="38"/>
      <c r="AZ9" s="38"/>
      <c r="BA9" s="38"/>
    </row>
    <row r="10" spans="1:53" ht="12.75">
      <c r="A10" s="62"/>
      <c r="B10" s="463"/>
      <c r="C10" s="464"/>
      <c r="D10" s="405"/>
      <c r="E10" s="405"/>
      <c r="F10" s="405"/>
      <c r="G10" s="464"/>
      <c r="H10" s="464"/>
      <c r="I10" s="406"/>
      <c r="J10" s="559"/>
      <c r="K10" s="64"/>
      <c r="M10" s="103"/>
      <c r="N10" s="103"/>
      <c r="O10" s="104"/>
      <c r="P10" s="104"/>
      <c r="Q10" s="104"/>
      <c r="R10" s="50"/>
      <c r="S10" s="50"/>
      <c r="T10" s="50"/>
      <c r="U10" s="50"/>
      <c r="V10" s="50"/>
      <c r="AH10" s="56"/>
      <c r="AI10" s="33"/>
      <c r="AJ10" s="75"/>
      <c r="AK10" s="33"/>
      <c r="AL10" s="120"/>
      <c r="AM10" s="120"/>
      <c r="AN10" s="127"/>
      <c r="AO10" s="127"/>
      <c r="AR10" s="41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3.5" thickBot="1">
      <c r="A11" s="41"/>
      <c r="B11" s="547"/>
      <c r="C11" s="531"/>
      <c r="D11" s="531"/>
      <c r="E11" s="531"/>
      <c r="F11" s="531"/>
      <c r="G11" s="531"/>
      <c r="H11" s="531"/>
      <c r="I11" s="531"/>
      <c r="J11" s="560"/>
      <c r="K11" s="95"/>
      <c r="L11" s="102"/>
      <c r="M11" s="103"/>
      <c r="N11" s="103"/>
      <c r="O11" s="50"/>
      <c r="P11" s="50"/>
      <c r="Q11" s="50"/>
      <c r="R11" s="50"/>
      <c r="S11" s="50"/>
      <c r="T11" s="50"/>
      <c r="U11" s="50"/>
      <c r="V11" s="50"/>
      <c r="W11" s="12"/>
      <c r="X11" s="12"/>
      <c r="Y11" s="12"/>
      <c r="AH11" s="33"/>
      <c r="AI11" s="33"/>
      <c r="AJ11" s="33"/>
      <c r="AK11" s="33"/>
      <c r="AL11" s="120"/>
      <c r="AM11" s="120"/>
      <c r="AN11" s="120"/>
      <c r="AO11" s="120"/>
      <c r="AR11" s="41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ht="12.75">
      <c r="A12" s="41"/>
      <c r="B12" s="537" t="s">
        <v>247</v>
      </c>
      <c r="C12" s="537"/>
      <c r="D12" s="537"/>
      <c r="E12" s="537"/>
      <c r="F12" s="537"/>
      <c r="G12" s="537"/>
      <c r="H12" s="537"/>
      <c r="I12" s="537"/>
      <c r="J12" s="537"/>
      <c r="K12" s="95"/>
      <c r="L12" s="102"/>
      <c r="M12" s="103"/>
      <c r="N12" s="103"/>
      <c r="O12" s="50"/>
      <c r="P12" s="50"/>
      <c r="Q12" s="50"/>
      <c r="R12" s="50"/>
      <c r="S12" s="50"/>
      <c r="T12" s="50"/>
      <c r="U12" s="50"/>
      <c r="V12" s="50"/>
      <c r="W12" s="12"/>
      <c r="X12" s="12"/>
      <c r="Y12" s="12"/>
      <c r="AH12" s="33"/>
      <c r="AI12" s="33"/>
      <c r="AJ12" s="33"/>
      <c r="AK12" s="33"/>
      <c r="AL12" s="120"/>
      <c r="AM12" s="120"/>
      <c r="AN12" s="120"/>
      <c r="AO12" s="120"/>
      <c r="AR12" s="41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44" ht="12.75">
      <c r="A13" s="41"/>
      <c r="B13" s="538" t="s">
        <v>276</v>
      </c>
      <c r="C13" s="247"/>
      <c r="D13" s="79">
        <f>+'Rural Divided Multilane Seg'!D68</f>
        <v>2.732783604730227</v>
      </c>
      <c r="E13" s="79">
        <f>+'Rural Divided Multilane Seg'!D69</f>
        <v>1.1548889004290928</v>
      </c>
      <c r="F13" s="79">
        <f>+'Rural Divided Multilane Seg'!D71</f>
        <v>1.5778947043011344</v>
      </c>
      <c r="G13" s="167">
        <v>4</v>
      </c>
      <c r="H13" s="79">
        <f>+'Rural Divided Multilane Seg'!H37</f>
        <v>0.14164021863996015</v>
      </c>
      <c r="I13" s="139">
        <f>1/(1+H13*D13)</f>
        <v>0.7209430739733658</v>
      </c>
      <c r="J13" s="81">
        <f>+I13*+D13+((1-I13)*G13)</f>
        <v>3.086409116604762</v>
      </c>
      <c r="K13" s="95"/>
      <c r="L13" s="102"/>
      <c r="M13" s="103"/>
      <c r="N13" s="103"/>
      <c r="O13" s="50"/>
      <c r="P13" s="50"/>
      <c r="Q13" s="50"/>
      <c r="R13" s="50"/>
      <c r="S13" s="50"/>
      <c r="T13" s="50"/>
      <c r="U13" s="50"/>
      <c r="V13" s="50"/>
      <c r="W13" s="12"/>
      <c r="X13" s="12"/>
      <c r="Y13" s="12"/>
      <c r="AH13" s="76"/>
      <c r="AI13" s="52"/>
      <c r="AJ13" s="75"/>
      <c r="AK13" s="33"/>
      <c r="AL13" s="120"/>
      <c r="AM13" s="120"/>
      <c r="AN13" s="127"/>
      <c r="AO13" s="127"/>
      <c r="AR13" s="116"/>
    </row>
    <row r="14" spans="1:41" ht="12.75">
      <c r="A14" s="41"/>
      <c r="B14" s="538" t="s">
        <v>293</v>
      </c>
      <c r="C14" s="247"/>
      <c r="D14" s="79">
        <f>+'Rural Undivided Multilane Seg'!D68</f>
        <v>0.28919671476702</v>
      </c>
      <c r="E14" s="79">
        <f>+'Rural Undivided Multilane Seg'!D69</f>
        <v>0.09856066514551567</v>
      </c>
      <c r="F14" s="79">
        <f>+'Rural Undivided Multilane Seg'!D71</f>
        <v>0.19063604962150435</v>
      </c>
      <c r="G14" s="167">
        <v>2</v>
      </c>
      <c r="H14" s="79">
        <f>+'Rural Undivided Multilane Seg'!H37:I37</f>
        <v>1.8730817948195697</v>
      </c>
      <c r="I14" s="139">
        <f>1/(1+H14*D14)</f>
        <v>0.6486392094187375</v>
      </c>
      <c r="J14" s="81">
        <f>+I14*+D14+((1-I14)*G14)</f>
        <v>0.8903059095955009</v>
      </c>
      <c r="K14" s="95"/>
      <c r="L14" s="102"/>
      <c r="M14" s="103"/>
      <c r="N14" s="103"/>
      <c r="O14" s="50"/>
      <c r="P14" s="50"/>
      <c r="Q14" s="50"/>
      <c r="R14" s="50"/>
      <c r="S14" s="50"/>
      <c r="T14" s="50"/>
      <c r="U14" s="50"/>
      <c r="V14" s="50"/>
      <c r="W14" s="12"/>
      <c r="X14" s="12"/>
      <c r="Y14" s="12"/>
      <c r="AH14" s="52"/>
      <c r="AI14" s="52"/>
      <c r="AJ14" s="33"/>
      <c r="AK14" s="33"/>
      <c r="AL14" s="120"/>
      <c r="AM14" s="120"/>
      <c r="AN14" s="120"/>
      <c r="AO14" s="120"/>
    </row>
    <row r="15" spans="1:41" ht="12.75">
      <c r="A15" s="41"/>
      <c r="B15" s="538" t="s">
        <v>249</v>
      </c>
      <c r="C15" s="247"/>
      <c r="D15" s="79"/>
      <c r="E15" s="79"/>
      <c r="F15" s="79"/>
      <c r="G15" s="168"/>
      <c r="H15" s="79"/>
      <c r="I15" s="139">
        <f aca="true" t="shared" si="0" ref="I15:I20">1/(1+H15*D15)</f>
        <v>1</v>
      </c>
      <c r="J15" s="81">
        <f aca="true" t="shared" si="1" ref="J15:J20">+I15*+D15+((1-I15)*G15)</f>
        <v>0</v>
      </c>
      <c r="K15" s="95"/>
      <c r="L15" s="102"/>
      <c r="M15" s="103"/>
      <c r="N15" s="103"/>
      <c r="O15" s="50"/>
      <c r="P15" s="50"/>
      <c r="Q15" s="50"/>
      <c r="R15" s="50"/>
      <c r="S15" s="50"/>
      <c r="T15" s="50"/>
      <c r="U15" s="50"/>
      <c r="V15" s="50"/>
      <c r="W15" s="12"/>
      <c r="X15" s="12"/>
      <c r="Y15" s="12"/>
      <c r="AH15" s="52"/>
      <c r="AI15" s="52"/>
      <c r="AJ15" s="75"/>
      <c r="AK15" s="38"/>
      <c r="AL15" s="38"/>
      <c r="AM15" s="38"/>
      <c r="AN15" s="38"/>
      <c r="AO15" s="38"/>
    </row>
    <row r="16" spans="1:41" ht="12.75">
      <c r="A16" s="41"/>
      <c r="B16" s="538" t="s">
        <v>250</v>
      </c>
      <c r="C16" s="247"/>
      <c r="D16" s="79"/>
      <c r="E16" s="79"/>
      <c r="F16" s="79"/>
      <c r="G16" s="169"/>
      <c r="H16" s="79"/>
      <c r="I16" s="139">
        <f t="shared" si="0"/>
        <v>1</v>
      </c>
      <c r="J16" s="81">
        <f t="shared" si="1"/>
        <v>0</v>
      </c>
      <c r="K16" s="95"/>
      <c r="L16" s="102"/>
      <c r="M16" s="103"/>
      <c r="N16" s="103"/>
      <c r="O16" s="50"/>
      <c r="P16" s="50"/>
      <c r="Q16" s="50"/>
      <c r="R16" s="50"/>
      <c r="S16" s="50"/>
      <c r="T16" s="50"/>
      <c r="U16" s="50"/>
      <c r="V16" s="50"/>
      <c r="W16" s="12"/>
      <c r="X16" s="12"/>
      <c r="Y16" s="12"/>
      <c r="AH16" s="114"/>
      <c r="AI16" s="114"/>
      <c r="AJ16" s="107"/>
      <c r="AK16" s="107"/>
      <c r="AL16" s="107"/>
      <c r="AM16" s="107"/>
      <c r="AN16" s="107"/>
      <c r="AO16" s="107"/>
    </row>
    <row r="17" spans="1:48" ht="12.75">
      <c r="A17" s="41"/>
      <c r="B17" s="538" t="s">
        <v>251</v>
      </c>
      <c r="C17" s="247"/>
      <c r="D17" s="79"/>
      <c r="E17" s="79"/>
      <c r="F17" s="79"/>
      <c r="G17" s="168"/>
      <c r="H17" s="79"/>
      <c r="I17" s="139">
        <f t="shared" si="0"/>
        <v>1</v>
      </c>
      <c r="J17" s="81">
        <f t="shared" si="1"/>
        <v>0</v>
      </c>
      <c r="K17" s="95"/>
      <c r="L17" s="41"/>
      <c r="O17" s="50"/>
      <c r="P17" s="50"/>
      <c r="Q17" s="50"/>
      <c r="R17" s="50"/>
      <c r="S17" s="50"/>
      <c r="T17" s="50"/>
      <c r="U17" s="50"/>
      <c r="V17" s="50"/>
      <c r="W17" s="12"/>
      <c r="X17" s="12"/>
      <c r="Y17" s="12"/>
      <c r="AH17" s="107"/>
      <c r="AI17" s="107"/>
      <c r="AJ17" s="107"/>
      <c r="AK17" s="107"/>
      <c r="AL17" s="107"/>
      <c r="AM17" s="107"/>
      <c r="AN17" s="107"/>
      <c r="AO17" s="107"/>
      <c r="AR17" s="41"/>
      <c r="AV17" s="38"/>
    </row>
    <row r="18" spans="1:41" ht="12.75">
      <c r="A18" s="41"/>
      <c r="B18" s="538" t="s">
        <v>252</v>
      </c>
      <c r="C18" s="247"/>
      <c r="D18" s="79"/>
      <c r="E18" s="79"/>
      <c r="F18" s="79"/>
      <c r="G18" s="170"/>
      <c r="H18" s="79"/>
      <c r="I18" s="139">
        <f t="shared" si="0"/>
        <v>1</v>
      </c>
      <c r="J18" s="81">
        <f t="shared" si="1"/>
        <v>0</v>
      </c>
      <c r="K18" s="95"/>
      <c r="L18" s="10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2"/>
      <c r="X18" s="12"/>
      <c r="Y18" s="12"/>
      <c r="AH18" s="107"/>
      <c r="AI18" s="114"/>
      <c r="AJ18" s="107"/>
      <c r="AK18" s="107"/>
      <c r="AL18" s="107"/>
      <c r="AM18" s="107"/>
      <c r="AN18" s="107"/>
      <c r="AO18" s="107"/>
    </row>
    <row r="19" spans="1:48" ht="12.75">
      <c r="A19" s="41"/>
      <c r="B19" s="538" t="s">
        <v>253</v>
      </c>
      <c r="C19" s="247"/>
      <c r="D19" s="79"/>
      <c r="E19" s="79"/>
      <c r="F19" s="79"/>
      <c r="G19" s="171"/>
      <c r="H19" s="79"/>
      <c r="I19" s="139">
        <f t="shared" si="0"/>
        <v>1</v>
      </c>
      <c r="J19" s="81">
        <f t="shared" si="1"/>
        <v>0</v>
      </c>
      <c r="K19" s="9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2"/>
      <c r="X19" s="12"/>
      <c r="Y19" s="12"/>
      <c r="AH19" s="107"/>
      <c r="AI19" s="107"/>
      <c r="AJ19" s="107"/>
      <c r="AK19" s="107"/>
      <c r="AL19" s="107"/>
      <c r="AM19" s="107"/>
      <c r="AN19" s="107"/>
      <c r="AO19" s="107"/>
      <c r="AR19" s="41"/>
      <c r="AV19" s="38"/>
    </row>
    <row r="20" spans="2:25" ht="13.5" thickBot="1">
      <c r="B20" s="563" t="s">
        <v>254</v>
      </c>
      <c r="C20" s="252"/>
      <c r="D20" s="87"/>
      <c r="E20" s="87"/>
      <c r="F20" s="87"/>
      <c r="G20" s="172"/>
      <c r="H20" s="87"/>
      <c r="I20" s="139">
        <f t="shared" si="0"/>
        <v>1</v>
      </c>
      <c r="J20" s="81">
        <f t="shared" si="1"/>
        <v>0</v>
      </c>
      <c r="K20" s="92"/>
      <c r="L20" s="60"/>
      <c r="M20" s="60"/>
      <c r="N20" s="60"/>
      <c r="O20" s="60"/>
      <c r="P20" s="60"/>
      <c r="Q20" s="60"/>
      <c r="R20" s="60"/>
      <c r="S20" s="60"/>
      <c r="T20" s="60"/>
      <c r="U20" s="101"/>
      <c r="V20" s="101"/>
      <c r="W20" s="12"/>
      <c r="X20" s="12"/>
      <c r="Y20" s="12"/>
    </row>
    <row r="21" spans="2:41" ht="12.75">
      <c r="B21" s="537" t="s">
        <v>248</v>
      </c>
      <c r="C21" s="537"/>
      <c r="D21" s="537"/>
      <c r="E21" s="537"/>
      <c r="F21" s="537"/>
      <c r="G21" s="537"/>
      <c r="H21" s="537"/>
      <c r="I21" s="537"/>
      <c r="J21" s="537"/>
      <c r="K21" s="91"/>
      <c r="L21" s="60"/>
      <c r="M21" s="60"/>
      <c r="N21" s="60"/>
      <c r="O21" s="60"/>
      <c r="P21" s="60"/>
      <c r="Q21" s="60"/>
      <c r="R21" s="60"/>
      <c r="S21" s="60"/>
      <c r="T21" s="60"/>
      <c r="U21" s="101"/>
      <c r="V21" s="101"/>
      <c r="W21" s="33"/>
      <c r="X21" s="33"/>
      <c r="Y21" s="33"/>
      <c r="Z21" s="33"/>
      <c r="AA21" s="33"/>
      <c r="AB21" s="33"/>
      <c r="AC21" s="33"/>
      <c r="AD21" s="33"/>
      <c r="AE21" s="33"/>
      <c r="AH21" s="62"/>
      <c r="AI21" s="62"/>
      <c r="AJ21" s="62"/>
      <c r="AK21" s="62"/>
      <c r="AL21" s="62"/>
      <c r="AM21" s="33"/>
      <c r="AN21" s="33"/>
      <c r="AO21" s="33"/>
    </row>
    <row r="22" spans="1:41" ht="12.75">
      <c r="A22" s="55"/>
      <c r="B22" s="538" t="s">
        <v>242</v>
      </c>
      <c r="C22" s="247"/>
      <c r="D22" s="79">
        <f>+'Rural Multilane Intersection'!G65</f>
        <v>0.6178254952995561</v>
      </c>
      <c r="E22" s="79">
        <f>+'Rural Multilane Intersection'!G66</f>
        <v>0.260971190974302</v>
      </c>
      <c r="F22" s="140">
        <f>+'Rural Multilane Intersection'!G68</f>
        <v>0.3568543043252541</v>
      </c>
      <c r="G22" s="168">
        <v>3</v>
      </c>
      <c r="H22" s="140">
        <f>+'Rural Multilane Intersection'!H34:I34</f>
        <v>0.46</v>
      </c>
      <c r="I22" s="139">
        <f>1/(1+H22*D22)</f>
        <v>0.7786950723651824</v>
      </c>
      <c r="J22" s="81">
        <f>+I22*+D22+((1-I22)*G22)</f>
        <v>1.1450124516757954</v>
      </c>
      <c r="K22" s="64"/>
      <c r="L22" s="101"/>
      <c r="M22" s="101"/>
      <c r="N22" s="101"/>
      <c r="O22" s="62"/>
      <c r="P22" s="33"/>
      <c r="Q22" s="62"/>
      <c r="S22" s="62"/>
      <c r="T22" s="33"/>
      <c r="U22" s="62"/>
      <c r="W22" s="91"/>
      <c r="X22" s="91"/>
      <c r="Y22" s="91"/>
      <c r="Z22" s="91"/>
      <c r="AA22" s="91"/>
      <c r="AB22" s="91"/>
      <c r="AC22" s="91"/>
      <c r="AD22" s="91"/>
      <c r="AE22" s="91"/>
      <c r="AH22" s="62"/>
      <c r="AI22" s="62"/>
      <c r="AJ22" s="62"/>
      <c r="AK22" s="33"/>
      <c r="AL22" s="62"/>
      <c r="AM22" s="33"/>
      <c r="AN22" s="33"/>
      <c r="AO22" s="33"/>
    </row>
    <row r="23" spans="1:41" ht="12.75">
      <c r="A23" s="135"/>
      <c r="B23" s="540" t="s">
        <v>243</v>
      </c>
      <c r="C23" s="247"/>
      <c r="D23" s="139"/>
      <c r="E23" s="139"/>
      <c r="F23" s="141"/>
      <c r="G23" s="168"/>
      <c r="H23" s="124"/>
      <c r="I23" s="139">
        <f aca="true" t="shared" si="2" ref="I23:I29">1/(1+H23*D23)</f>
        <v>1</v>
      </c>
      <c r="J23" s="81">
        <f aca="true" t="shared" si="3" ref="J23:J29">+I23*+D23+((1-I23)*G23)</f>
        <v>0</v>
      </c>
      <c r="L23" s="56"/>
      <c r="M23" s="33"/>
      <c r="N23" s="33"/>
      <c r="O23" s="33"/>
      <c r="P23" s="33"/>
      <c r="S23" s="33"/>
      <c r="T23" s="33"/>
      <c r="W23" s="60"/>
      <c r="X23" s="60"/>
      <c r="Y23" s="60"/>
      <c r="Z23" s="60"/>
      <c r="AA23" s="60"/>
      <c r="AB23" s="60"/>
      <c r="AC23" s="60"/>
      <c r="AD23" s="60"/>
      <c r="AE23" s="60"/>
      <c r="AH23" s="62"/>
      <c r="AI23" s="62"/>
      <c r="AJ23" s="33"/>
      <c r="AK23" s="33"/>
      <c r="AL23" s="33"/>
      <c r="AM23" s="33"/>
      <c r="AN23" s="33"/>
      <c r="AO23" s="33"/>
    </row>
    <row r="24" spans="1:41" ht="12.75">
      <c r="A24" s="101"/>
      <c r="B24" s="538" t="s">
        <v>255</v>
      </c>
      <c r="C24" s="247"/>
      <c r="D24" s="142"/>
      <c r="E24" s="142"/>
      <c r="F24" s="141"/>
      <c r="G24" s="168"/>
      <c r="H24" s="124"/>
      <c r="I24" s="139">
        <f t="shared" si="2"/>
        <v>1</v>
      </c>
      <c r="J24" s="81">
        <f t="shared" si="3"/>
        <v>0</v>
      </c>
      <c r="L24" s="101"/>
      <c r="W24" s="60"/>
      <c r="X24" s="60"/>
      <c r="Y24" s="60"/>
      <c r="Z24" s="60"/>
      <c r="AA24" s="60"/>
      <c r="AB24" s="60"/>
      <c r="AC24" s="60"/>
      <c r="AD24" s="60"/>
      <c r="AE24" s="60"/>
      <c r="AH24" s="33"/>
      <c r="AI24" s="33"/>
      <c r="AJ24" s="33"/>
      <c r="AK24" s="33"/>
      <c r="AL24" s="125"/>
      <c r="AM24" s="125"/>
      <c r="AN24" s="125"/>
      <c r="AO24" s="125"/>
    </row>
    <row r="25" spans="1:41" ht="12.75">
      <c r="A25" s="101"/>
      <c r="B25" s="540" t="s">
        <v>256</v>
      </c>
      <c r="C25" s="247"/>
      <c r="D25" s="143"/>
      <c r="E25" s="143"/>
      <c r="F25" s="141"/>
      <c r="G25" s="168"/>
      <c r="H25" s="124"/>
      <c r="I25" s="139">
        <f t="shared" si="2"/>
        <v>1</v>
      </c>
      <c r="J25" s="81">
        <f t="shared" si="3"/>
        <v>0</v>
      </c>
      <c r="O25" s="57"/>
      <c r="P25" s="57"/>
      <c r="Q25" s="57"/>
      <c r="R25" s="53"/>
      <c r="S25" s="57"/>
      <c r="T25" s="57"/>
      <c r="U25" s="57"/>
      <c r="V25" s="53"/>
      <c r="W25" s="96"/>
      <c r="X25" s="96"/>
      <c r="Y25" s="96"/>
      <c r="Z25" s="96"/>
      <c r="AA25" s="96"/>
      <c r="AB25" s="96"/>
      <c r="AC25" s="96"/>
      <c r="AD25" s="96"/>
      <c r="AE25" s="96"/>
      <c r="AH25" s="33"/>
      <c r="AI25" s="33"/>
      <c r="AJ25" s="33"/>
      <c r="AK25" s="33"/>
      <c r="AL25" s="126"/>
      <c r="AM25" s="126"/>
      <c r="AN25" s="126"/>
      <c r="AO25" s="126"/>
    </row>
    <row r="26" spans="1:41" ht="12.75">
      <c r="A26" s="83"/>
      <c r="B26" s="538" t="s">
        <v>257</v>
      </c>
      <c r="C26" s="247"/>
      <c r="D26" s="139"/>
      <c r="E26" s="139"/>
      <c r="F26" s="139"/>
      <c r="G26" s="171"/>
      <c r="H26" s="79"/>
      <c r="I26" s="139">
        <f t="shared" si="2"/>
        <v>1</v>
      </c>
      <c r="J26" s="81">
        <f t="shared" si="3"/>
        <v>0</v>
      </c>
      <c r="K26" s="65"/>
      <c r="O26" s="53"/>
      <c r="P26" s="53"/>
      <c r="Q26" s="53"/>
      <c r="R26" s="53"/>
      <c r="S26" s="53"/>
      <c r="T26" s="53"/>
      <c r="U26" s="53"/>
      <c r="V26" s="53"/>
      <c r="W26" s="97"/>
      <c r="X26" s="97"/>
      <c r="Y26" s="97"/>
      <c r="Z26" s="97"/>
      <c r="AA26" s="97"/>
      <c r="AB26" s="97"/>
      <c r="AC26" s="97"/>
      <c r="AD26" s="97"/>
      <c r="AE26" s="97"/>
      <c r="AH26" s="56"/>
      <c r="AI26" s="33"/>
      <c r="AJ26" s="75"/>
      <c r="AK26" s="33"/>
      <c r="AL26" s="120"/>
      <c r="AM26" s="120"/>
      <c r="AN26" s="127"/>
      <c r="AO26" s="127"/>
    </row>
    <row r="27" spans="1:41" ht="12.75">
      <c r="A27" s="83"/>
      <c r="B27" s="540" t="s">
        <v>258</v>
      </c>
      <c r="C27" s="247"/>
      <c r="D27" s="139"/>
      <c r="E27" s="139"/>
      <c r="F27" s="139"/>
      <c r="G27" s="171"/>
      <c r="H27" s="79"/>
      <c r="I27" s="139">
        <f t="shared" si="2"/>
        <v>1</v>
      </c>
      <c r="J27" s="81">
        <f t="shared" si="3"/>
        <v>0</v>
      </c>
      <c r="K27" s="62"/>
      <c r="L27" s="102"/>
      <c r="M27" s="33"/>
      <c r="N27" s="33"/>
      <c r="O27" s="104"/>
      <c r="P27" s="104"/>
      <c r="Q27" s="104"/>
      <c r="R27" s="33"/>
      <c r="S27" s="50"/>
      <c r="T27" s="50"/>
      <c r="U27" s="50"/>
      <c r="V27" s="50"/>
      <c r="W27" s="62"/>
      <c r="X27" s="33"/>
      <c r="Y27" s="33"/>
      <c r="Z27" s="33"/>
      <c r="AA27" s="33"/>
      <c r="AB27" s="33"/>
      <c r="AC27" s="33"/>
      <c r="AD27" s="33"/>
      <c r="AE27" s="33"/>
      <c r="AH27" s="33"/>
      <c r="AI27" s="33"/>
      <c r="AJ27" s="33"/>
      <c r="AK27" s="33"/>
      <c r="AL27" s="120"/>
      <c r="AM27" s="120"/>
      <c r="AN27" s="120"/>
      <c r="AO27" s="120"/>
    </row>
    <row r="28" spans="1:41" ht="12.75">
      <c r="A28" s="38"/>
      <c r="B28" s="538" t="s">
        <v>259</v>
      </c>
      <c r="C28" s="247"/>
      <c r="D28" s="139"/>
      <c r="E28" s="139"/>
      <c r="F28" s="139"/>
      <c r="G28" s="171"/>
      <c r="H28" s="79"/>
      <c r="I28" s="139">
        <f t="shared" si="2"/>
        <v>1</v>
      </c>
      <c r="J28" s="81">
        <f t="shared" si="3"/>
        <v>0</v>
      </c>
      <c r="K28" s="62"/>
      <c r="L28" s="102"/>
      <c r="M28" s="33"/>
      <c r="N28" s="33"/>
      <c r="O28" s="104"/>
      <c r="P28" s="104"/>
      <c r="Q28" s="104"/>
      <c r="R28" s="33"/>
      <c r="S28" s="50"/>
      <c r="T28" s="50"/>
      <c r="U28" s="50"/>
      <c r="V28" s="50"/>
      <c r="W28" s="62"/>
      <c r="X28" s="33"/>
      <c r="Y28" s="33"/>
      <c r="Z28" s="33"/>
      <c r="AA28" s="33"/>
      <c r="AB28" s="33"/>
      <c r="AC28" s="33"/>
      <c r="AD28" s="33"/>
      <c r="AE28" s="33"/>
      <c r="AH28" s="33"/>
      <c r="AI28" s="33"/>
      <c r="AJ28" s="33"/>
      <c r="AK28" s="33"/>
      <c r="AL28" s="120"/>
      <c r="AM28" s="120"/>
      <c r="AN28" s="120"/>
      <c r="AO28" s="120"/>
    </row>
    <row r="29" spans="1:41" ht="13.5" thickBot="1">
      <c r="A29" s="41"/>
      <c r="B29" s="551" t="s">
        <v>260</v>
      </c>
      <c r="C29" s="552"/>
      <c r="D29" s="144"/>
      <c r="E29" s="144"/>
      <c r="F29" s="144"/>
      <c r="G29" s="173"/>
      <c r="H29" s="147"/>
      <c r="I29" s="139">
        <f t="shared" si="2"/>
        <v>1</v>
      </c>
      <c r="J29" s="81">
        <f t="shared" si="3"/>
        <v>0</v>
      </c>
      <c r="K29" s="92"/>
      <c r="L29" s="102"/>
      <c r="M29" s="103"/>
      <c r="N29" s="103"/>
      <c r="Q29" s="50"/>
      <c r="R29" s="50"/>
      <c r="S29" s="50"/>
      <c r="T29" s="50"/>
      <c r="U29" s="50"/>
      <c r="V29" s="50"/>
      <c r="W29" s="12"/>
      <c r="X29" s="12"/>
      <c r="Y29" s="12"/>
      <c r="Z29" s="12"/>
      <c r="AA29" s="12"/>
      <c r="AB29" s="12"/>
      <c r="AC29" s="12"/>
      <c r="AD29" s="12"/>
      <c r="AE29" s="12"/>
      <c r="AH29" s="76"/>
      <c r="AI29" s="52"/>
      <c r="AJ29" s="75"/>
      <c r="AK29" s="33"/>
      <c r="AL29" s="120"/>
      <c r="AM29" s="120"/>
      <c r="AN29" s="127"/>
      <c r="AO29" s="127"/>
    </row>
    <row r="30" spans="1:41" ht="14.25" thickBot="1" thickTop="1">
      <c r="A30" s="51"/>
      <c r="B30" s="553" t="s">
        <v>244</v>
      </c>
      <c r="C30" s="554"/>
      <c r="D30" s="145">
        <f>SUM(D13:D20)+SUM(D22:D29)</f>
        <v>3.6398058147968033</v>
      </c>
      <c r="E30" s="145">
        <f>SUM(E13:E20)+SUM(E22:E29)</f>
        <v>1.5144207565489105</v>
      </c>
      <c r="F30" s="145">
        <f>SUM(F13:F20)+SUM(F22:F29)</f>
        <v>2.125385058247893</v>
      </c>
      <c r="G30" s="138">
        <f>SUM(G13:G20)+SUM(G22:G29)</f>
        <v>9</v>
      </c>
      <c r="H30" s="149" t="s">
        <v>17</v>
      </c>
      <c r="I30" s="149" t="s">
        <v>17</v>
      </c>
      <c r="J30" s="185">
        <f>SUM(J13:J20)+SUM(J22:J29)</f>
        <v>5.121727477876059</v>
      </c>
      <c r="K30" s="9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H30" s="52"/>
      <c r="AI30" s="52"/>
      <c r="AJ30" s="33"/>
      <c r="AK30" s="33"/>
      <c r="AL30" s="120"/>
      <c r="AM30" s="120"/>
      <c r="AN30" s="120"/>
      <c r="AO30" s="120"/>
    </row>
    <row r="31" spans="1:41" ht="12.75">
      <c r="A31" s="48"/>
      <c r="B31" s="61"/>
      <c r="C31" s="55"/>
      <c r="D31" s="55"/>
      <c r="F31" s="48"/>
      <c r="H31" s="48"/>
      <c r="K31" s="9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H31" s="52"/>
      <c r="AI31" s="52"/>
      <c r="AJ31" s="75"/>
      <c r="AK31" s="38"/>
      <c r="AL31" s="38"/>
      <c r="AM31" s="38"/>
      <c r="AN31" s="38"/>
      <c r="AO31" s="38"/>
    </row>
    <row r="32" spans="1:41" ht="12.75">
      <c r="A32" s="60"/>
      <c r="B32" s="61"/>
      <c r="C32" s="106"/>
      <c r="D32" s="60"/>
      <c r="E32" s="60"/>
      <c r="F32" s="60"/>
      <c r="G32" s="33"/>
      <c r="H32" s="60"/>
      <c r="K32" s="9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H32" s="114"/>
      <c r="AI32" s="114"/>
      <c r="AJ32" s="107"/>
      <c r="AK32" s="107"/>
      <c r="AL32" s="107"/>
      <c r="AM32" s="107"/>
      <c r="AN32" s="107"/>
      <c r="AO32" s="107"/>
    </row>
    <row r="33" spans="2:41" ht="13.5" thickBot="1">
      <c r="B33" s="61"/>
      <c r="C33" s="56"/>
      <c r="D33" s="33"/>
      <c r="E33" s="33"/>
      <c r="K33" s="9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H33" s="46"/>
      <c r="AI33" s="107"/>
      <c r="AJ33" s="107"/>
      <c r="AK33" s="107"/>
      <c r="AL33" s="107"/>
      <c r="AM33" s="107"/>
      <c r="AN33" s="107"/>
      <c r="AO33" s="107"/>
    </row>
    <row r="34" spans="2:41" ht="13.5" thickTop="1">
      <c r="B34" s="555" t="s">
        <v>282</v>
      </c>
      <c r="C34" s="556"/>
      <c r="D34" s="556"/>
      <c r="E34" s="556"/>
      <c r="F34" s="556"/>
      <c r="G34" s="556"/>
      <c r="H34" s="556"/>
      <c r="I34" s="556"/>
      <c r="J34" s="556"/>
      <c r="K34" s="9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H34" s="128"/>
      <c r="AI34" s="114"/>
      <c r="AJ34" s="107"/>
      <c r="AK34" s="107"/>
      <c r="AL34" s="107"/>
      <c r="AM34" s="107"/>
      <c r="AN34" s="107"/>
      <c r="AO34" s="107"/>
    </row>
    <row r="35" spans="2:41" ht="13.5" thickBot="1">
      <c r="B35" s="557"/>
      <c r="C35" s="557"/>
      <c r="D35" s="557"/>
      <c r="E35" s="557"/>
      <c r="F35" s="557"/>
      <c r="G35" s="557"/>
      <c r="H35" s="557"/>
      <c r="I35" s="557"/>
      <c r="J35" s="557"/>
      <c r="K35" s="9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H35" s="107"/>
      <c r="AI35" s="107"/>
      <c r="AJ35" s="107"/>
      <c r="AK35" s="107"/>
      <c r="AL35" s="107"/>
      <c r="AM35" s="107"/>
      <c r="AN35" s="107"/>
      <c r="AO35" s="107"/>
    </row>
    <row r="36" spans="2:41" ht="12.75">
      <c r="B36" s="230" t="s">
        <v>19</v>
      </c>
      <c r="C36" s="231"/>
      <c r="D36" s="231"/>
      <c r="E36" s="232" t="s">
        <v>20</v>
      </c>
      <c r="F36" s="231"/>
      <c r="G36" s="231"/>
      <c r="H36" s="232" t="s">
        <v>21</v>
      </c>
      <c r="I36" s="231"/>
      <c r="J36" s="235"/>
      <c r="K36" s="9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2"/>
      <c r="X36" s="62"/>
      <c r="Y36" s="62"/>
      <c r="Z36" s="62"/>
      <c r="AA36" s="62"/>
      <c r="AB36" s="62"/>
      <c r="AC36" s="62"/>
      <c r="AD36" s="62"/>
      <c r="AE36" s="62"/>
      <c r="AH36" s="107"/>
      <c r="AI36" s="107"/>
      <c r="AJ36" s="107"/>
      <c r="AK36" s="107"/>
      <c r="AL36" s="107"/>
      <c r="AM36" s="107"/>
      <c r="AN36" s="107"/>
      <c r="AO36" s="107"/>
    </row>
    <row r="37" spans="1:41" ht="13.5">
      <c r="A37" s="41"/>
      <c r="B37" s="558" t="s">
        <v>49</v>
      </c>
      <c r="C37" s="206"/>
      <c r="D37" s="206"/>
      <c r="E37" s="548" t="s">
        <v>283</v>
      </c>
      <c r="F37" s="549"/>
      <c r="G37" s="549"/>
      <c r="H37" s="548" t="s">
        <v>284</v>
      </c>
      <c r="I37" s="549"/>
      <c r="J37" s="550"/>
      <c r="K37" s="9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H37" s="107"/>
      <c r="AI37" s="107"/>
      <c r="AJ37" s="107"/>
      <c r="AK37" s="107"/>
      <c r="AL37" s="107"/>
      <c r="AM37" s="107"/>
      <c r="AN37" s="107"/>
      <c r="AO37" s="107"/>
    </row>
    <row r="38" spans="1:40" ht="15.75">
      <c r="A38" s="107"/>
      <c r="B38" s="540" t="s">
        <v>39</v>
      </c>
      <c r="C38" s="237"/>
      <c r="D38" s="237"/>
      <c r="E38" s="525" t="s">
        <v>285</v>
      </c>
      <c r="F38" s="294"/>
      <c r="G38" s="294"/>
      <c r="H38" s="525" t="s">
        <v>286</v>
      </c>
      <c r="I38" s="294"/>
      <c r="J38" s="526"/>
      <c r="K38" s="92"/>
      <c r="N38" s="94"/>
      <c r="O38" s="12"/>
      <c r="P38" s="12"/>
      <c r="Q38" s="12"/>
      <c r="R38" s="12"/>
      <c r="S38" s="12"/>
      <c r="T38" s="12"/>
      <c r="U38" s="12"/>
      <c r="V38" s="12"/>
      <c r="W38" s="94"/>
      <c r="X38" s="12"/>
      <c r="Y38" s="12"/>
      <c r="Z38" s="12"/>
      <c r="AA38" s="12"/>
      <c r="AB38" s="12"/>
      <c r="AC38" s="12"/>
      <c r="AD38" s="12"/>
      <c r="AE38" s="12"/>
      <c r="AH38" s="60"/>
      <c r="AI38" s="53"/>
      <c r="AJ38" s="53"/>
      <c r="AK38" s="53"/>
      <c r="AL38" s="53"/>
      <c r="AM38" s="53"/>
      <c r="AN38" s="101"/>
    </row>
    <row r="39" spans="1:40" ht="12.75">
      <c r="A39" s="107"/>
      <c r="B39" s="238"/>
      <c r="C39" s="237"/>
      <c r="D39" s="237"/>
      <c r="E39" s="527">
        <f>+D30</f>
        <v>3.6398058147968033</v>
      </c>
      <c r="F39" s="528"/>
      <c r="G39" s="529"/>
      <c r="H39" s="527">
        <f>+J30</f>
        <v>5.121727477876059</v>
      </c>
      <c r="I39" s="328"/>
      <c r="J39" s="328"/>
      <c r="K39" s="92"/>
      <c r="N39" s="94"/>
      <c r="O39" s="12"/>
      <c r="P39" s="12"/>
      <c r="Q39" s="12"/>
      <c r="R39" s="12"/>
      <c r="S39" s="12"/>
      <c r="T39" s="12"/>
      <c r="U39" s="12"/>
      <c r="V39" s="12"/>
      <c r="W39" s="94"/>
      <c r="X39" s="12"/>
      <c r="Y39" s="12"/>
      <c r="Z39" s="12"/>
      <c r="AA39" s="12"/>
      <c r="AB39" s="12"/>
      <c r="AC39" s="12"/>
      <c r="AD39" s="12"/>
      <c r="AE39" s="12"/>
      <c r="AH39" s="60"/>
      <c r="AI39" s="53"/>
      <c r="AJ39" s="53"/>
      <c r="AK39" s="53"/>
      <c r="AL39" s="53"/>
      <c r="AM39" s="53"/>
      <c r="AN39" s="101"/>
    </row>
    <row r="40" spans="1:40" ht="15.75">
      <c r="A40" s="105"/>
      <c r="B40" s="540" t="s">
        <v>287</v>
      </c>
      <c r="C40" s="237"/>
      <c r="D40" s="237"/>
      <c r="E40" s="525" t="s">
        <v>289</v>
      </c>
      <c r="F40" s="294"/>
      <c r="G40" s="294"/>
      <c r="H40" s="525" t="s">
        <v>291</v>
      </c>
      <c r="I40" s="294"/>
      <c r="J40" s="526"/>
      <c r="K40" s="92"/>
      <c r="N40" s="94"/>
      <c r="O40" s="12"/>
      <c r="P40" s="12"/>
      <c r="Q40" s="12"/>
      <c r="R40" s="12"/>
      <c r="S40" s="12"/>
      <c r="T40" s="12"/>
      <c r="U40" s="12"/>
      <c r="V40" s="12"/>
      <c r="W40" s="94"/>
      <c r="X40" s="12"/>
      <c r="Y40" s="12"/>
      <c r="Z40" s="12"/>
      <c r="AA40" s="12"/>
      <c r="AB40" s="12"/>
      <c r="AC40" s="12"/>
      <c r="AD40" s="12"/>
      <c r="AE40" s="12"/>
      <c r="AH40" s="60"/>
      <c r="AI40" s="53"/>
      <c r="AJ40" s="53"/>
      <c r="AK40" s="53"/>
      <c r="AL40" s="53"/>
      <c r="AM40" s="53"/>
      <c r="AN40" s="101"/>
    </row>
    <row r="41" spans="1:49" ht="12.75">
      <c r="A41" s="49"/>
      <c r="B41" s="238"/>
      <c r="C41" s="237"/>
      <c r="D41" s="237"/>
      <c r="E41" s="520">
        <f>+E30</f>
        <v>1.5144207565489105</v>
      </c>
      <c r="F41" s="521"/>
      <c r="G41" s="522"/>
      <c r="H41" s="523">
        <f>+J30*E30/D30</f>
        <v>2.1310066516049613</v>
      </c>
      <c r="I41" s="524"/>
      <c r="J41" s="524"/>
      <c r="K41" s="9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H41" s="53"/>
      <c r="AI41" s="53"/>
      <c r="AJ41" s="53"/>
      <c r="AK41" s="53"/>
      <c r="AL41" s="53"/>
      <c r="AM41" s="53"/>
      <c r="AN41" s="101"/>
      <c r="AO41" s="66"/>
      <c r="AP41" s="66"/>
      <c r="AQ41" s="66"/>
      <c r="AR41" s="66"/>
      <c r="AS41" s="66"/>
      <c r="AT41" s="66"/>
      <c r="AU41" s="66"/>
      <c r="AV41" s="66"/>
      <c r="AW41" s="66"/>
    </row>
    <row r="42" spans="1:49" ht="15.75">
      <c r="A42" s="53"/>
      <c r="B42" s="541" t="s">
        <v>288</v>
      </c>
      <c r="C42" s="542"/>
      <c r="D42" s="542"/>
      <c r="E42" s="525" t="s">
        <v>290</v>
      </c>
      <c r="F42" s="294"/>
      <c r="G42" s="294"/>
      <c r="H42" s="525" t="s">
        <v>292</v>
      </c>
      <c r="I42" s="294"/>
      <c r="J42" s="526"/>
      <c r="K42" s="9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H42" s="51"/>
      <c r="AK42" s="62"/>
      <c r="AO42" s="33"/>
      <c r="AT42" s="33"/>
      <c r="AU42" s="33"/>
      <c r="AV42" s="33"/>
      <c r="AW42" s="33"/>
    </row>
    <row r="43" spans="1:48" ht="13.5" thickBot="1">
      <c r="A43" s="51"/>
      <c r="B43" s="543"/>
      <c r="C43" s="544"/>
      <c r="D43" s="544"/>
      <c r="E43" s="532">
        <f>+F30</f>
        <v>2.125385058247893</v>
      </c>
      <c r="F43" s="533"/>
      <c r="G43" s="534"/>
      <c r="H43" s="535">
        <f>+J30*F30/D30</f>
        <v>2.990720826271097</v>
      </c>
      <c r="I43" s="536"/>
      <c r="J43" s="536"/>
      <c r="K43" s="9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H43" s="65"/>
      <c r="AI43" s="61"/>
      <c r="AJ43" s="33"/>
      <c r="AK43" s="64"/>
      <c r="AL43" s="62"/>
      <c r="AM43" s="66"/>
      <c r="AO43" s="62"/>
      <c r="AT43" s="62"/>
      <c r="AU43" s="62"/>
      <c r="AV43" s="62"/>
    </row>
    <row r="44" spans="1:48" ht="12.75">
      <c r="A44" s="48"/>
      <c r="C44" s="48"/>
      <c r="D44" s="48"/>
      <c r="E44" s="48"/>
      <c r="F44" s="55"/>
      <c r="G44" s="48"/>
      <c r="H44" s="48"/>
      <c r="I44" s="55"/>
      <c r="K44" s="9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H44" s="56"/>
      <c r="AI44" s="33"/>
      <c r="AK44" s="67"/>
      <c r="AL44" s="33"/>
      <c r="AM44" s="67"/>
      <c r="AN44" s="67"/>
      <c r="AT44" s="62"/>
      <c r="AU44" s="62"/>
      <c r="AV44" s="62"/>
    </row>
    <row r="45" spans="1:48" ht="12.75">
      <c r="A45" s="60"/>
      <c r="B45" s="60"/>
      <c r="C45" s="60"/>
      <c r="D45" s="60"/>
      <c r="F45" s="60"/>
      <c r="G45" s="60"/>
      <c r="H45" s="60"/>
      <c r="I45" s="60"/>
      <c r="K45" s="9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H45" s="56"/>
      <c r="AI45" s="33"/>
      <c r="AK45" s="67"/>
      <c r="AL45" s="33"/>
      <c r="AM45" s="67"/>
      <c r="AN45" s="67"/>
      <c r="AT45" s="62"/>
      <c r="AU45" s="62"/>
      <c r="AV45" s="64"/>
    </row>
    <row r="46" spans="1:48" ht="12.75">
      <c r="A46" s="60"/>
      <c r="B46" s="60"/>
      <c r="C46" s="33"/>
      <c r="F46" s="33"/>
      <c r="G46" s="33"/>
      <c r="H46" s="33"/>
      <c r="I46" s="33"/>
      <c r="AH46" s="56"/>
      <c r="AI46" s="33"/>
      <c r="AK46" s="50"/>
      <c r="AL46" s="33"/>
      <c r="AM46" s="67"/>
      <c r="AN46" s="67"/>
      <c r="AT46" s="33"/>
      <c r="AU46" s="46"/>
      <c r="AV46" s="40"/>
    </row>
    <row r="47" spans="1:9" ht="12.75">
      <c r="A47" s="33"/>
      <c r="B47" s="33"/>
      <c r="C47" s="33"/>
      <c r="F47" s="33"/>
      <c r="G47" s="33"/>
      <c r="H47" s="33"/>
      <c r="I47" s="33"/>
    </row>
    <row r="48" spans="1:9" ht="12.75">
      <c r="A48" s="33"/>
      <c r="B48" s="33"/>
      <c r="C48" s="76"/>
      <c r="D48" s="110"/>
      <c r="E48" s="77"/>
      <c r="F48" s="76"/>
      <c r="G48" s="110"/>
      <c r="H48" s="77"/>
      <c r="I48" s="76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3:9" ht="12.75">
      <c r="C50" s="50"/>
      <c r="D50" s="50"/>
      <c r="E50" s="50"/>
      <c r="F50" s="50"/>
      <c r="G50" s="50"/>
      <c r="H50" s="50"/>
      <c r="I50" s="50"/>
    </row>
    <row r="51" spans="1:9" ht="12.75">
      <c r="A51" s="38"/>
      <c r="B51" s="38"/>
      <c r="C51" s="38"/>
      <c r="D51" s="75"/>
      <c r="E51" s="38"/>
      <c r="F51" s="38"/>
      <c r="G51" s="55"/>
      <c r="I51" s="38"/>
    </row>
    <row r="52" spans="1:9" ht="12.75">
      <c r="A52" s="83"/>
      <c r="C52" s="50"/>
      <c r="D52" s="50"/>
      <c r="E52" s="50"/>
      <c r="F52" s="50"/>
      <c r="G52" s="50"/>
      <c r="H52" s="50"/>
      <c r="I52" s="50"/>
    </row>
    <row r="53" spans="1:9" ht="12.75">
      <c r="A53" s="83"/>
      <c r="C53" s="50"/>
      <c r="D53" s="50"/>
      <c r="E53" s="50"/>
      <c r="F53" s="50"/>
      <c r="G53" s="50"/>
      <c r="H53" s="50"/>
      <c r="I53" s="50"/>
    </row>
    <row r="54" spans="1:9" ht="12.75">
      <c r="A54" s="65"/>
      <c r="C54" s="50"/>
      <c r="D54" s="50"/>
      <c r="E54" s="50"/>
      <c r="F54" s="50"/>
      <c r="G54" s="50"/>
      <c r="H54" s="50"/>
      <c r="I54" s="50"/>
    </row>
    <row r="55" spans="1:9" ht="12.75">
      <c r="A55" s="83"/>
      <c r="C55" s="50"/>
      <c r="D55" s="50"/>
      <c r="E55" s="50"/>
      <c r="F55" s="50"/>
      <c r="G55" s="50"/>
      <c r="H55" s="50"/>
      <c r="I55" s="50"/>
    </row>
    <row r="56" spans="1:9" ht="12.75">
      <c r="A56" s="83"/>
      <c r="C56" s="50"/>
      <c r="D56" s="50"/>
      <c r="E56" s="50"/>
      <c r="F56" s="50"/>
      <c r="G56" s="50"/>
      <c r="H56" s="50"/>
      <c r="I56" s="50"/>
    </row>
    <row r="57" spans="1:9" ht="12.75">
      <c r="A57" s="83"/>
      <c r="C57" s="50"/>
      <c r="D57" s="50"/>
      <c r="E57" s="50"/>
      <c r="F57" s="50"/>
      <c r="G57" s="50"/>
      <c r="H57" s="50"/>
      <c r="I57" s="50"/>
    </row>
    <row r="58" spans="1:9" ht="12.75">
      <c r="A58" s="105"/>
      <c r="B58" s="61"/>
      <c r="C58" s="61"/>
      <c r="D58" s="61"/>
      <c r="E58" s="61"/>
      <c r="F58" s="61"/>
      <c r="G58" s="61"/>
      <c r="H58" s="61"/>
      <c r="I58" s="61"/>
    </row>
    <row r="59" spans="3:9" ht="12.75">
      <c r="C59" s="50"/>
      <c r="D59" s="50"/>
      <c r="E59" s="50"/>
      <c r="F59" s="50"/>
      <c r="G59" s="33"/>
      <c r="H59" s="50"/>
      <c r="I59" s="50"/>
    </row>
    <row r="60" spans="1:7" ht="12.75">
      <c r="A60" s="62"/>
      <c r="B60" s="33"/>
      <c r="C60" s="33"/>
      <c r="D60" s="33"/>
      <c r="E60" s="33"/>
      <c r="F60" s="33"/>
      <c r="G60" s="33"/>
    </row>
    <row r="62" spans="1:9" ht="12.7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2.75">
      <c r="A63" s="48"/>
      <c r="B63" s="48"/>
      <c r="C63" s="48"/>
      <c r="E63" s="55"/>
      <c r="F63" s="33"/>
      <c r="G63" s="33"/>
      <c r="H63" s="33"/>
      <c r="I63" s="55"/>
    </row>
    <row r="64" spans="1:9" ht="12.75">
      <c r="A64" s="60"/>
      <c r="B64" s="60"/>
      <c r="C64" s="60"/>
      <c r="D64" s="60"/>
      <c r="E64" s="62"/>
      <c r="F64" s="62"/>
      <c r="G64" s="62"/>
      <c r="H64" s="62"/>
      <c r="I64" s="62"/>
    </row>
    <row r="65" spans="1:9" ht="12.75">
      <c r="A65" s="101"/>
      <c r="B65" s="101"/>
      <c r="C65" s="101"/>
      <c r="D65" s="101"/>
      <c r="E65" s="55"/>
      <c r="I65" s="55"/>
    </row>
    <row r="66" spans="1:9" ht="12.75">
      <c r="A66" s="61"/>
      <c r="B66" s="61"/>
      <c r="C66" s="61"/>
      <c r="E66" s="50"/>
      <c r="F66" s="33"/>
      <c r="G66" s="33"/>
      <c r="H66" s="33"/>
      <c r="I66" s="12"/>
    </row>
    <row r="67" spans="1:9" ht="12.75">
      <c r="A67" s="61"/>
      <c r="B67" s="61"/>
      <c r="C67" s="61"/>
      <c r="E67" s="50"/>
      <c r="F67" s="33"/>
      <c r="G67" s="33"/>
      <c r="H67" s="33"/>
      <c r="I67" s="12"/>
    </row>
    <row r="68" spans="1:9" ht="12.75">
      <c r="A68" s="65"/>
      <c r="B68" s="61"/>
      <c r="C68" s="61"/>
      <c r="E68" s="50"/>
      <c r="F68" s="33"/>
      <c r="G68" s="33"/>
      <c r="H68" s="33"/>
      <c r="I68" s="12"/>
    </row>
    <row r="69" spans="1:9" ht="12.75">
      <c r="A69" s="61"/>
      <c r="B69" s="61"/>
      <c r="C69" s="61"/>
      <c r="E69" s="50"/>
      <c r="F69" s="33"/>
      <c r="G69" s="33"/>
      <c r="H69" s="33"/>
      <c r="I69" s="12"/>
    </row>
    <row r="70" spans="1:9" ht="12.75">
      <c r="A70" s="105"/>
      <c r="B70" s="61"/>
      <c r="C70" s="61"/>
      <c r="D70" s="61"/>
      <c r="E70" s="61"/>
      <c r="F70" s="61"/>
      <c r="G70" s="61"/>
      <c r="H70" s="61"/>
      <c r="I70" s="61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59"/>
      <c r="B76" s="59"/>
      <c r="C76" s="59"/>
      <c r="D76" s="60"/>
      <c r="E76" s="60"/>
      <c r="F76" s="60"/>
      <c r="G76" s="60"/>
      <c r="I76" s="60"/>
    </row>
    <row r="77" spans="1:9" ht="12.75">
      <c r="A77" s="59"/>
      <c r="B77" s="59"/>
      <c r="C77" s="59"/>
      <c r="D77" s="48"/>
      <c r="G77" s="48"/>
      <c r="H77" s="48"/>
      <c r="I77" s="48"/>
    </row>
    <row r="78" spans="1:9" ht="12.75">
      <c r="A78" s="61"/>
      <c r="B78" s="61"/>
      <c r="C78" s="61"/>
      <c r="D78" s="50"/>
      <c r="E78" s="33"/>
      <c r="F78" s="33"/>
      <c r="G78" s="50"/>
      <c r="H78" s="33"/>
      <c r="I78" s="33"/>
    </row>
    <row r="79" spans="1:9" ht="12.75">
      <c r="A79" s="61"/>
      <c r="B79" s="61"/>
      <c r="C79" s="61"/>
      <c r="D79" s="50"/>
      <c r="E79" s="33"/>
      <c r="F79" s="33"/>
      <c r="G79" s="50"/>
      <c r="H79" s="33"/>
      <c r="I79" s="33"/>
    </row>
    <row r="80" spans="1:9" ht="12.75">
      <c r="A80" s="61"/>
      <c r="B80" s="61"/>
      <c r="C80" s="61"/>
      <c r="D80" s="50"/>
      <c r="E80" s="33"/>
      <c r="F80" s="33"/>
      <c r="G80" s="50"/>
      <c r="H80" s="33"/>
      <c r="I80" s="33"/>
    </row>
  </sheetData>
  <sheetProtection/>
  <mergeCells count="54">
    <mergeCell ref="B3:J4"/>
    <mergeCell ref="B5:C5"/>
    <mergeCell ref="B25:C25"/>
    <mergeCell ref="B26:C26"/>
    <mergeCell ref="B15:C15"/>
    <mergeCell ref="B16:C16"/>
    <mergeCell ref="B17:C17"/>
    <mergeCell ref="B18:C18"/>
    <mergeCell ref="B19:C19"/>
    <mergeCell ref="B20:C20"/>
    <mergeCell ref="J9:J11"/>
    <mergeCell ref="B12:J12"/>
    <mergeCell ref="B13:C13"/>
    <mergeCell ref="B14:C14"/>
    <mergeCell ref="G6:G11"/>
    <mergeCell ref="I9:I11"/>
    <mergeCell ref="I6:I8"/>
    <mergeCell ref="J6:J8"/>
    <mergeCell ref="E9:E11"/>
    <mergeCell ref="F9:F11"/>
    <mergeCell ref="B34:J35"/>
    <mergeCell ref="B37:D37"/>
    <mergeCell ref="B36:D36"/>
    <mergeCell ref="E36:G36"/>
    <mergeCell ref="H36:J36"/>
    <mergeCell ref="E37:G37"/>
    <mergeCell ref="B23:C23"/>
    <mergeCell ref="B24:C24"/>
    <mergeCell ref="E42:G42"/>
    <mergeCell ref="H42:J42"/>
    <mergeCell ref="B6:C11"/>
    <mergeCell ref="H37:J37"/>
    <mergeCell ref="B27:C27"/>
    <mergeCell ref="B28:C28"/>
    <mergeCell ref="B29:C29"/>
    <mergeCell ref="B30:C30"/>
    <mergeCell ref="D6:F8"/>
    <mergeCell ref="D9:D11"/>
    <mergeCell ref="E43:G43"/>
    <mergeCell ref="H43:J43"/>
    <mergeCell ref="B21:J21"/>
    <mergeCell ref="B22:C22"/>
    <mergeCell ref="H6:H11"/>
    <mergeCell ref="B38:D39"/>
    <mergeCell ref="B40:D41"/>
    <mergeCell ref="B42:D43"/>
    <mergeCell ref="E41:G41"/>
    <mergeCell ref="H41:J41"/>
    <mergeCell ref="E40:G40"/>
    <mergeCell ref="H40:J40"/>
    <mergeCell ref="E38:G38"/>
    <mergeCell ref="H38:J38"/>
    <mergeCell ref="E39:G39"/>
    <mergeCell ref="H39:J39"/>
  </mergeCells>
  <dataValidations count="2">
    <dataValidation type="list" allowBlank="1" showInputMessage="1" showErrorMessage="1" sqref="AJ43 N7 N23">
      <formula1>Local</formula1>
    </dataValidation>
    <dataValidation type="whole" allowBlank="1" showInputMessage="1" showErrorMessage="1" sqref="I13:I20 I22:I29">
      <formula1>0</formula1>
      <formula2>78300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7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7" width="13.7109375" style="39" customWidth="1"/>
    <col min="8" max="8" width="15.28125" style="39" customWidth="1"/>
    <col min="9" max="10" width="13.7109375" style="39" customWidth="1"/>
    <col min="11" max="15" width="10.7109375" style="39" customWidth="1"/>
    <col min="16" max="22" width="13.7109375" style="39" customWidth="1"/>
    <col min="23" max="32" width="12.7109375" style="39" customWidth="1"/>
    <col min="33" max="38" width="9.140625" style="39" customWidth="1"/>
    <col min="39" max="39" width="11.00390625" style="39" customWidth="1"/>
    <col min="40" max="40" width="12.421875" style="39" customWidth="1"/>
    <col min="41" max="41" width="10.421875" style="39" customWidth="1"/>
    <col min="42" max="42" width="10.7109375" style="39" customWidth="1"/>
    <col min="43" max="43" width="12.421875" style="39" customWidth="1"/>
    <col min="44" max="44" width="10.421875" style="39" customWidth="1"/>
    <col min="45" max="45" width="11.7109375" style="39" customWidth="1"/>
    <col min="46" max="46" width="10.421875" style="39" customWidth="1"/>
    <col min="47" max="48" width="9.140625" style="39" customWidth="1"/>
    <col min="49" max="49" width="10.140625" style="39" customWidth="1"/>
    <col min="50" max="16384" width="9.140625" style="39" customWidth="1"/>
  </cols>
  <sheetData>
    <row r="1" spans="17:26" ht="12.75">
      <c r="Q1" s="40"/>
      <c r="T1" s="33"/>
      <c r="Z1" s="95"/>
    </row>
    <row r="2" spans="17:26" ht="13.5" thickBot="1">
      <c r="Q2" s="40"/>
      <c r="T2" s="33"/>
      <c r="Z2" s="95"/>
    </row>
    <row r="3" spans="1:58" ht="13.5" thickTop="1">
      <c r="A3" s="51"/>
      <c r="B3" s="555" t="s">
        <v>240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91"/>
      <c r="Q3" s="60"/>
      <c r="R3" s="60"/>
      <c r="S3" s="60"/>
      <c r="T3" s="60"/>
      <c r="U3" s="60"/>
      <c r="V3" s="60"/>
      <c r="W3" s="60"/>
      <c r="X3" s="60"/>
      <c r="Y3" s="60"/>
      <c r="Z3" s="101"/>
      <c r="AA3" s="101"/>
      <c r="AB3" s="62"/>
      <c r="AC3" s="62"/>
      <c r="AD3" s="62"/>
      <c r="AM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13.5" thickBot="1">
      <c r="A4" s="62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33"/>
      <c r="Q4" s="60"/>
      <c r="R4" s="60"/>
      <c r="S4" s="60"/>
      <c r="T4" s="60"/>
      <c r="U4" s="60"/>
      <c r="V4" s="60"/>
      <c r="W4" s="60"/>
      <c r="X4" s="60"/>
      <c r="Y4" s="60"/>
      <c r="Z4" s="101"/>
      <c r="AA4" s="101"/>
      <c r="AB4" s="33"/>
      <c r="AC4" s="33"/>
      <c r="AD4" s="33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2:58" ht="12.75">
      <c r="B5" s="230" t="s">
        <v>19</v>
      </c>
      <c r="C5" s="303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58" t="s">
        <v>26</v>
      </c>
      <c r="K5" s="58" t="s">
        <v>27</v>
      </c>
      <c r="L5" s="58" t="s">
        <v>28</v>
      </c>
      <c r="M5" s="58" t="s">
        <v>29</v>
      </c>
      <c r="N5" s="58" t="s">
        <v>30</v>
      </c>
      <c r="O5" s="129" t="s">
        <v>31</v>
      </c>
      <c r="P5" s="64"/>
      <c r="Q5" s="59"/>
      <c r="R5" s="59"/>
      <c r="S5" s="59"/>
      <c r="T5" s="91"/>
      <c r="U5" s="91"/>
      <c r="V5" s="91"/>
      <c r="W5" s="91"/>
      <c r="X5" s="91"/>
      <c r="Y5" s="91"/>
      <c r="AB5" s="91"/>
      <c r="AC5" s="91"/>
      <c r="AD5" s="91"/>
      <c r="AM5" s="62"/>
      <c r="AN5" s="62"/>
      <c r="AO5" s="62"/>
      <c r="AP5" s="33"/>
      <c r="AQ5" s="62"/>
      <c r="AR5" s="33"/>
      <c r="AS5" s="33"/>
      <c r="AT5" s="33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2:58" ht="12.75">
      <c r="B6" s="569" t="s">
        <v>241</v>
      </c>
      <c r="C6" s="570"/>
      <c r="D6" s="410" t="s">
        <v>50</v>
      </c>
      <c r="E6" s="530"/>
      <c r="F6" s="530"/>
      <c r="G6" s="410" t="s">
        <v>275</v>
      </c>
      <c r="H6" s="539" t="s">
        <v>37</v>
      </c>
      <c r="I6" s="539" t="s">
        <v>261</v>
      </c>
      <c r="J6" s="539" t="s">
        <v>262</v>
      </c>
      <c r="K6" s="539" t="s">
        <v>263</v>
      </c>
      <c r="L6" s="539" t="s">
        <v>264</v>
      </c>
      <c r="M6" s="539" t="s">
        <v>267</v>
      </c>
      <c r="N6" s="539" t="s">
        <v>268</v>
      </c>
      <c r="O6" s="561" t="s">
        <v>273</v>
      </c>
      <c r="Q6" s="101"/>
      <c r="R6" s="101"/>
      <c r="S6" s="101"/>
      <c r="T6" s="91"/>
      <c r="U6" s="91"/>
      <c r="V6" s="91"/>
      <c r="X6" s="62"/>
      <c r="AB6" s="62"/>
      <c r="AC6" s="62"/>
      <c r="AD6" s="62"/>
      <c r="AM6" s="62"/>
      <c r="AN6" s="62"/>
      <c r="AO6" s="33"/>
      <c r="AP6" s="33"/>
      <c r="AQ6" s="33"/>
      <c r="AR6" s="33"/>
      <c r="AS6" s="33"/>
      <c r="AT6" s="33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2:58" ht="12.75">
      <c r="B7" s="238"/>
      <c r="C7" s="237"/>
      <c r="D7" s="530"/>
      <c r="E7" s="530"/>
      <c r="F7" s="530"/>
      <c r="G7" s="567"/>
      <c r="H7" s="405"/>
      <c r="I7" s="256"/>
      <c r="J7" s="256"/>
      <c r="K7" s="256"/>
      <c r="L7" s="256"/>
      <c r="M7" s="256"/>
      <c r="N7" s="256"/>
      <c r="O7" s="261"/>
      <c r="Q7" s="56"/>
      <c r="R7" s="33"/>
      <c r="S7" s="33"/>
      <c r="T7" s="57"/>
      <c r="U7" s="57"/>
      <c r="V7" s="57"/>
      <c r="W7" s="57"/>
      <c r="X7" s="57"/>
      <c r="Y7" s="57"/>
      <c r="Z7" s="57"/>
      <c r="AA7" s="57"/>
      <c r="AB7" s="33"/>
      <c r="AC7" s="62"/>
      <c r="AD7" s="33"/>
      <c r="AM7" s="33"/>
      <c r="AN7" s="33"/>
      <c r="AO7" s="33"/>
      <c r="AP7" s="33"/>
      <c r="AQ7" s="125"/>
      <c r="AR7" s="125"/>
      <c r="AS7" s="125"/>
      <c r="AT7" s="125"/>
      <c r="AW7" s="41"/>
      <c r="AX7" s="38"/>
      <c r="AY7" s="38"/>
      <c r="AZ7" s="38"/>
      <c r="BA7" s="38"/>
      <c r="BB7" s="38"/>
      <c r="BC7" s="38"/>
      <c r="BD7" s="38"/>
      <c r="BE7" s="38"/>
      <c r="BF7" s="38"/>
    </row>
    <row r="8" spans="2:58" ht="12.75">
      <c r="B8" s="238"/>
      <c r="C8" s="237"/>
      <c r="D8" s="565" t="s">
        <v>245</v>
      </c>
      <c r="E8" s="565" t="s">
        <v>389</v>
      </c>
      <c r="F8" s="565" t="s">
        <v>246</v>
      </c>
      <c r="G8" s="567"/>
      <c r="H8" s="405"/>
      <c r="I8" s="565" t="s">
        <v>265</v>
      </c>
      <c r="J8" s="565" t="s">
        <v>266</v>
      </c>
      <c r="K8" s="406" t="s">
        <v>269</v>
      </c>
      <c r="L8" s="406" t="s">
        <v>270</v>
      </c>
      <c r="M8" s="406" t="s">
        <v>271</v>
      </c>
      <c r="N8" s="406" t="s">
        <v>272</v>
      </c>
      <c r="O8" s="559" t="s">
        <v>274</v>
      </c>
      <c r="P8" s="65"/>
      <c r="T8" s="53"/>
      <c r="U8" s="53"/>
      <c r="V8" s="53"/>
      <c r="W8" s="53"/>
      <c r="X8" s="53"/>
      <c r="Y8" s="53"/>
      <c r="Z8" s="53"/>
      <c r="AA8" s="53"/>
      <c r="AB8" s="33"/>
      <c r="AC8" s="33"/>
      <c r="AD8" s="33"/>
      <c r="AM8" s="33"/>
      <c r="AN8" s="33"/>
      <c r="AO8" s="33"/>
      <c r="AP8" s="33"/>
      <c r="AQ8" s="126"/>
      <c r="AR8" s="126"/>
      <c r="AS8" s="126"/>
      <c r="AT8" s="126"/>
      <c r="AW8" s="41"/>
      <c r="AX8" s="38"/>
      <c r="AY8" s="38"/>
      <c r="AZ8" s="38"/>
      <c r="BA8" s="38"/>
      <c r="BB8" s="38"/>
      <c r="BC8" s="38"/>
      <c r="BD8" s="38"/>
      <c r="BE8" s="38"/>
      <c r="BF8" s="38"/>
    </row>
    <row r="9" spans="1:58" ht="13.5" thickBot="1">
      <c r="A9" s="62"/>
      <c r="B9" s="571"/>
      <c r="C9" s="572"/>
      <c r="D9" s="566"/>
      <c r="E9" s="566"/>
      <c r="F9" s="566"/>
      <c r="G9" s="568"/>
      <c r="H9" s="564"/>
      <c r="I9" s="573"/>
      <c r="J9" s="573"/>
      <c r="K9" s="564"/>
      <c r="L9" s="564"/>
      <c r="M9" s="564"/>
      <c r="N9" s="564"/>
      <c r="O9" s="560"/>
      <c r="P9" s="64"/>
      <c r="Q9" s="102"/>
      <c r="R9" s="103"/>
      <c r="S9" s="103"/>
      <c r="T9" s="104"/>
      <c r="U9" s="104"/>
      <c r="V9" s="104"/>
      <c r="W9" s="50"/>
      <c r="X9" s="50"/>
      <c r="Y9" s="50"/>
      <c r="Z9" s="50"/>
      <c r="AA9" s="50"/>
      <c r="AM9" s="56"/>
      <c r="AN9" s="33"/>
      <c r="AO9" s="75"/>
      <c r="AP9" s="33"/>
      <c r="AQ9" s="120"/>
      <c r="AR9" s="120"/>
      <c r="AS9" s="127"/>
      <c r="AT9" s="127"/>
      <c r="AW9" s="41"/>
      <c r="AX9" s="38"/>
      <c r="AY9" s="38"/>
      <c r="AZ9" s="38"/>
      <c r="BA9" s="38"/>
      <c r="BB9" s="38"/>
      <c r="BC9" s="38"/>
      <c r="BD9" s="38"/>
      <c r="BE9" s="38"/>
      <c r="BF9" s="38"/>
    </row>
    <row r="10" spans="1:58" ht="12.75">
      <c r="A10" s="41"/>
      <c r="B10" s="537" t="s">
        <v>247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95"/>
      <c r="Q10" s="102"/>
      <c r="R10" s="103"/>
      <c r="S10" s="103"/>
      <c r="T10" s="50"/>
      <c r="U10" s="50"/>
      <c r="V10" s="50"/>
      <c r="W10" s="50"/>
      <c r="X10" s="50"/>
      <c r="Y10" s="50"/>
      <c r="Z10" s="50"/>
      <c r="AA10" s="50"/>
      <c r="AB10" s="12"/>
      <c r="AC10" s="12"/>
      <c r="AD10" s="12"/>
      <c r="AM10" s="33"/>
      <c r="AN10" s="33"/>
      <c r="AO10" s="33"/>
      <c r="AP10" s="33"/>
      <c r="AQ10" s="120"/>
      <c r="AR10" s="120"/>
      <c r="AS10" s="120"/>
      <c r="AT10" s="120"/>
      <c r="AW10" s="41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49" ht="12.75">
      <c r="A11" s="41"/>
      <c r="B11" s="538" t="s">
        <v>276</v>
      </c>
      <c r="C11" s="247"/>
      <c r="D11" s="79">
        <f>+'Rural Divided Multilane Seg'!D68</f>
        <v>2.732783604730227</v>
      </c>
      <c r="E11" s="79">
        <f>+'Rural Divided Multilane Seg'!D69</f>
        <v>1.1548889004290928</v>
      </c>
      <c r="F11" s="79">
        <f>+'Rural Divided Multilane Seg'!D71</f>
        <v>1.5778947043011344</v>
      </c>
      <c r="G11" s="134" t="s">
        <v>17</v>
      </c>
      <c r="H11" s="79">
        <f>+'Rural Divided Multilane Seg'!H37:I37</f>
        <v>0.14164021863996015</v>
      </c>
      <c r="I11" s="139">
        <f>+H11*D11*D11</f>
        <v>1.0577841992836385</v>
      </c>
      <c r="J11" s="139">
        <f>SQRT(H11*D11)</f>
        <v>0.6221511611093303</v>
      </c>
      <c r="K11" s="134" t="s">
        <v>17</v>
      </c>
      <c r="L11" s="134" t="s">
        <v>17</v>
      </c>
      <c r="M11" s="134" t="s">
        <v>17</v>
      </c>
      <c r="N11" s="134" t="s">
        <v>17</v>
      </c>
      <c r="O11" s="134" t="s">
        <v>17</v>
      </c>
      <c r="P11" s="95"/>
      <c r="Q11" s="102"/>
      <c r="R11" s="103"/>
      <c r="S11" s="103"/>
      <c r="T11" s="50"/>
      <c r="U11" s="50"/>
      <c r="V11" s="50"/>
      <c r="W11" s="50"/>
      <c r="X11" s="50"/>
      <c r="Y11" s="50"/>
      <c r="Z11" s="50"/>
      <c r="AA11" s="50"/>
      <c r="AB11" s="12"/>
      <c r="AC11" s="12"/>
      <c r="AD11" s="12"/>
      <c r="AM11" s="76"/>
      <c r="AN11" s="52"/>
      <c r="AO11" s="75"/>
      <c r="AP11" s="33"/>
      <c r="AQ11" s="120"/>
      <c r="AR11" s="120"/>
      <c r="AS11" s="127"/>
      <c r="AT11" s="127"/>
      <c r="AW11" s="116"/>
    </row>
    <row r="12" spans="1:46" ht="12.75">
      <c r="A12" s="41"/>
      <c r="B12" s="538" t="s">
        <v>293</v>
      </c>
      <c r="C12" s="247"/>
      <c r="D12" s="79">
        <f>+'Rural Undivided Multilane Seg'!D68</f>
        <v>0.28919671476702</v>
      </c>
      <c r="E12" s="79">
        <f>+'Rural Undivided Multilane Seg'!D69</f>
        <v>0.09856066514551567</v>
      </c>
      <c r="F12" s="79">
        <f>+'Rural Undivided Multilane Seg'!D71</f>
        <v>0.19063604962150435</v>
      </c>
      <c r="G12" s="134" t="s">
        <v>17</v>
      </c>
      <c r="H12" s="79">
        <f>+'Rural Undivided Multilane Seg'!H37</f>
        <v>1.8730817948195697</v>
      </c>
      <c r="I12" s="139">
        <f>+H12*D12*D12</f>
        <v>0.15665470859385988</v>
      </c>
      <c r="J12" s="139">
        <f>SQRT(H12*D12)</f>
        <v>0.735995313539246</v>
      </c>
      <c r="K12" s="134" t="s">
        <v>17</v>
      </c>
      <c r="L12" s="134" t="s">
        <v>17</v>
      </c>
      <c r="M12" s="134" t="s">
        <v>17</v>
      </c>
      <c r="N12" s="134" t="s">
        <v>17</v>
      </c>
      <c r="O12" s="134" t="s">
        <v>17</v>
      </c>
      <c r="P12" s="95"/>
      <c r="Q12" s="102"/>
      <c r="R12" s="103"/>
      <c r="S12" s="103"/>
      <c r="T12" s="50"/>
      <c r="U12" s="50"/>
      <c r="V12" s="50"/>
      <c r="W12" s="50"/>
      <c r="X12" s="50"/>
      <c r="Y12" s="50"/>
      <c r="Z12" s="50"/>
      <c r="AA12" s="50"/>
      <c r="AB12" s="12"/>
      <c r="AC12" s="12"/>
      <c r="AD12" s="12"/>
      <c r="AM12" s="52"/>
      <c r="AN12" s="52"/>
      <c r="AO12" s="33"/>
      <c r="AP12" s="33"/>
      <c r="AQ12" s="120"/>
      <c r="AR12" s="120"/>
      <c r="AS12" s="120"/>
      <c r="AT12" s="120"/>
    </row>
    <row r="13" spans="1:46" ht="12.75">
      <c r="A13" s="41"/>
      <c r="B13" s="538" t="s">
        <v>249</v>
      </c>
      <c r="C13" s="247"/>
      <c r="D13" s="79"/>
      <c r="E13" s="79"/>
      <c r="F13" s="79"/>
      <c r="G13" s="134" t="s">
        <v>17</v>
      </c>
      <c r="H13" s="79"/>
      <c r="I13" s="137"/>
      <c r="J13" s="84"/>
      <c r="K13" s="134" t="s">
        <v>17</v>
      </c>
      <c r="L13" s="134" t="s">
        <v>17</v>
      </c>
      <c r="M13" s="134" t="s">
        <v>17</v>
      </c>
      <c r="N13" s="134" t="s">
        <v>17</v>
      </c>
      <c r="O13" s="134" t="s">
        <v>17</v>
      </c>
      <c r="P13" s="95"/>
      <c r="Q13" s="102"/>
      <c r="R13" s="103"/>
      <c r="S13" s="103"/>
      <c r="T13" s="50"/>
      <c r="U13" s="50"/>
      <c r="V13" s="50"/>
      <c r="W13" s="50"/>
      <c r="X13" s="50"/>
      <c r="Y13" s="50"/>
      <c r="Z13" s="50"/>
      <c r="AA13" s="50"/>
      <c r="AB13" s="12"/>
      <c r="AC13" s="12"/>
      <c r="AD13" s="12"/>
      <c r="AM13" s="52"/>
      <c r="AN13" s="52"/>
      <c r="AO13" s="75"/>
      <c r="AP13" s="38"/>
      <c r="AQ13" s="38"/>
      <c r="AR13" s="38"/>
      <c r="AS13" s="38"/>
      <c r="AT13" s="38"/>
    </row>
    <row r="14" spans="1:46" ht="12.75">
      <c r="A14" s="41"/>
      <c r="B14" s="538" t="s">
        <v>250</v>
      </c>
      <c r="C14" s="247"/>
      <c r="D14" s="79"/>
      <c r="E14" s="79"/>
      <c r="F14" s="79"/>
      <c r="G14" s="134" t="s">
        <v>17</v>
      </c>
      <c r="H14" s="79"/>
      <c r="I14" s="4"/>
      <c r="J14" s="84"/>
      <c r="K14" s="134" t="s">
        <v>17</v>
      </c>
      <c r="L14" s="134" t="s">
        <v>17</v>
      </c>
      <c r="M14" s="134" t="s">
        <v>17</v>
      </c>
      <c r="N14" s="134" t="s">
        <v>17</v>
      </c>
      <c r="O14" s="134" t="s">
        <v>17</v>
      </c>
      <c r="P14" s="95"/>
      <c r="Q14" s="102"/>
      <c r="R14" s="103"/>
      <c r="S14" s="103"/>
      <c r="T14" s="50"/>
      <c r="U14" s="50"/>
      <c r="V14" s="50"/>
      <c r="W14" s="50"/>
      <c r="X14" s="50"/>
      <c r="Y14" s="50"/>
      <c r="Z14" s="50"/>
      <c r="AA14" s="50"/>
      <c r="AB14" s="12"/>
      <c r="AC14" s="12"/>
      <c r="AD14" s="12"/>
      <c r="AM14" s="114"/>
      <c r="AN14" s="114"/>
      <c r="AO14" s="107"/>
      <c r="AP14" s="107"/>
      <c r="AQ14" s="107"/>
      <c r="AR14" s="107"/>
      <c r="AS14" s="107"/>
      <c r="AT14" s="107"/>
    </row>
    <row r="15" spans="1:53" ht="12.75">
      <c r="A15" s="41"/>
      <c r="B15" s="538" t="s">
        <v>251</v>
      </c>
      <c r="C15" s="247"/>
      <c r="D15" s="79"/>
      <c r="E15" s="79"/>
      <c r="F15" s="79"/>
      <c r="G15" s="134" t="s">
        <v>17</v>
      </c>
      <c r="H15" s="79"/>
      <c r="I15" s="133"/>
      <c r="J15" s="84"/>
      <c r="K15" s="134" t="s">
        <v>17</v>
      </c>
      <c r="L15" s="134" t="s">
        <v>17</v>
      </c>
      <c r="M15" s="134" t="s">
        <v>17</v>
      </c>
      <c r="N15" s="134" t="s">
        <v>17</v>
      </c>
      <c r="O15" s="134" t="s">
        <v>17</v>
      </c>
      <c r="P15" s="95"/>
      <c r="Q15" s="41"/>
      <c r="T15" s="50"/>
      <c r="U15" s="50"/>
      <c r="V15" s="50"/>
      <c r="W15" s="50"/>
      <c r="X15" s="50"/>
      <c r="Y15" s="50"/>
      <c r="Z15" s="50"/>
      <c r="AA15" s="50"/>
      <c r="AB15" s="12"/>
      <c r="AC15" s="12"/>
      <c r="AD15" s="12"/>
      <c r="AM15" s="107"/>
      <c r="AN15" s="107"/>
      <c r="AO15" s="107"/>
      <c r="AP15" s="107"/>
      <c r="AQ15" s="107"/>
      <c r="AR15" s="107"/>
      <c r="AS15" s="107"/>
      <c r="AT15" s="107"/>
      <c r="AW15" s="41"/>
      <c r="BA15" s="38"/>
    </row>
    <row r="16" spans="1:46" ht="12.75">
      <c r="A16" s="41"/>
      <c r="B16" s="538" t="s">
        <v>252</v>
      </c>
      <c r="C16" s="247"/>
      <c r="D16" s="79"/>
      <c r="E16" s="79"/>
      <c r="F16" s="79"/>
      <c r="G16" s="134" t="s">
        <v>17</v>
      </c>
      <c r="H16" s="79"/>
      <c r="I16" s="4"/>
      <c r="J16" s="84"/>
      <c r="K16" s="134" t="s">
        <v>17</v>
      </c>
      <c r="L16" s="134" t="s">
        <v>17</v>
      </c>
      <c r="M16" s="134" t="s">
        <v>17</v>
      </c>
      <c r="N16" s="134" t="s">
        <v>17</v>
      </c>
      <c r="O16" s="134" t="s">
        <v>17</v>
      </c>
      <c r="P16" s="95"/>
      <c r="Q16" s="105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2"/>
      <c r="AC16" s="12"/>
      <c r="AD16" s="12"/>
      <c r="AM16" s="107"/>
      <c r="AN16" s="114"/>
      <c r="AO16" s="107"/>
      <c r="AP16" s="107"/>
      <c r="AQ16" s="107"/>
      <c r="AR16" s="107"/>
      <c r="AS16" s="107"/>
      <c r="AT16" s="107"/>
    </row>
    <row r="17" spans="1:53" ht="12.75">
      <c r="A17" s="41"/>
      <c r="B17" s="538" t="s">
        <v>253</v>
      </c>
      <c r="C17" s="247"/>
      <c r="D17" s="79"/>
      <c r="E17" s="79"/>
      <c r="F17" s="79"/>
      <c r="G17" s="134" t="s">
        <v>17</v>
      </c>
      <c r="H17" s="79"/>
      <c r="I17" s="80"/>
      <c r="J17" s="84"/>
      <c r="K17" s="134" t="s">
        <v>17</v>
      </c>
      <c r="L17" s="134" t="s">
        <v>17</v>
      </c>
      <c r="M17" s="134" t="s">
        <v>17</v>
      </c>
      <c r="N17" s="134" t="s">
        <v>17</v>
      </c>
      <c r="O17" s="134" t="s">
        <v>17</v>
      </c>
      <c r="P17" s="9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2"/>
      <c r="AC17" s="12"/>
      <c r="AD17" s="12"/>
      <c r="AM17" s="107"/>
      <c r="AN17" s="107"/>
      <c r="AO17" s="107"/>
      <c r="AP17" s="107"/>
      <c r="AQ17" s="107"/>
      <c r="AR17" s="107"/>
      <c r="AS17" s="107"/>
      <c r="AT17" s="107"/>
      <c r="AW17" s="41"/>
      <c r="BA17" s="38"/>
    </row>
    <row r="18" spans="2:30" ht="13.5" thickBot="1">
      <c r="B18" s="563" t="s">
        <v>254</v>
      </c>
      <c r="C18" s="252"/>
      <c r="D18" s="87"/>
      <c r="E18" s="87"/>
      <c r="F18" s="87"/>
      <c r="G18" s="134" t="s">
        <v>17</v>
      </c>
      <c r="H18" s="87"/>
      <c r="I18" s="130"/>
      <c r="J18" s="86"/>
      <c r="K18" s="134" t="s">
        <v>17</v>
      </c>
      <c r="L18" s="134" t="s">
        <v>17</v>
      </c>
      <c r="M18" s="134" t="s">
        <v>17</v>
      </c>
      <c r="N18" s="134" t="s">
        <v>17</v>
      </c>
      <c r="O18" s="134" t="s">
        <v>17</v>
      </c>
      <c r="P18" s="92"/>
      <c r="Q18" s="60"/>
      <c r="R18" s="60"/>
      <c r="S18" s="60"/>
      <c r="T18" s="60"/>
      <c r="U18" s="60"/>
      <c r="V18" s="60"/>
      <c r="W18" s="60"/>
      <c r="X18" s="60"/>
      <c r="Y18" s="60"/>
      <c r="Z18" s="101"/>
      <c r="AA18" s="101"/>
      <c r="AB18" s="12"/>
      <c r="AC18" s="12"/>
      <c r="AD18" s="12"/>
    </row>
    <row r="19" spans="2:46" ht="12.75">
      <c r="B19" s="537" t="s">
        <v>248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91"/>
      <c r="Q19" s="60"/>
      <c r="R19" s="60"/>
      <c r="S19" s="60"/>
      <c r="T19" s="60"/>
      <c r="U19" s="60"/>
      <c r="V19" s="60"/>
      <c r="W19" s="60"/>
      <c r="X19" s="60"/>
      <c r="Y19" s="60"/>
      <c r="Z19" s="101"/>
      <c r="AA19" s="101"/>
      <c r="AB19" s="33"/>
      <c r="AC19" s="33"/>
      <c r="AD19" s="33"/>
      <c r="AE19" s="33"/>
      <c r="AF19" s="33"/>
      <c r="AG19" s="33"/>
      <c r="AH19" s="33"/>
      <c r="AI19" s="33"/>
      <c r="AJ19" s="33"/>
      <c r="AM19" s="62"/>
      <c r="AN19" s="62"/>
      <c r="AO19" s="62"/>
      <c r="AP19" s="62"/>
      <c r="AQ19" s="62"/>
      <c r="AR19" s="33"/>
      <c r="AS19" s="33"/>
      <c r="AT19" s="33"/>
    </row>
    <row r="20" spans="1:46" ht="12.75">
      <c r="A20" s="55"/>
      <c r="B20" s="538" t="s">
        <v>242</v>
      </c>
      <c r="C20" s="247"/>
      <c r="D20" s="79">
        <f>+'Rural Multilane Intersection'!G65</f>
        <v>0.6178254952995561</v>
      </c>
      <c r="E20" s="79">
        <f>+'Rural Multilane Intersection'!G66</f>
        <v>0.260971190974302</v>
      </c>
      <c r="F20" s="140">
        <f>+'Rural Multilane Intersection'!G68</f>
        <v>0.3568543043252541</v>
      </c>
      <c r="G20" s="134" t="s">
        <v>17</v>
      </c>
      <c r="H20" s="140">
        <f>+'Rural Multilane Intersection'!H34</f>
        <v>0.46</v>
      </c>
      <c r="I20" s="139">
        <f>+H20*D20*D20</f>
        <v>0.17558583761538527</v>
      </c>
      <c r="J20" s="139">
        <f>SQRT(H20*D20)</f>
        <v>0.5331038621486397</v>
      </c>
      <c r="K20" s="134" t="s">
        <v>17</v>
      </c>
      <c r="L20" s="134" t="s">
        <v>17</v>
      </c>
      <c r="M20" s="134" t="s">
        <v>17</v>
      </c>
      <c r="N20" s="134" t="s">
        <v>17</v>
      </c>
      <c r="O20" s="134" t="s">
        <v>17</v>
      </c>
      <c r="P20" s="64"/>
      <c r="Q20" s="101"/>
      <c r="R20" s="101"/>
      <c r="S20" s="101"/>
      <c r="T20" s="62"/>
      <c r="U20" s="33"/>
      <c r="V20" s="62"/>
      <c r="X20" s="62"/>
      <c r="Y20" s="33"/>
      <c r="Z20" s="62"/>
      <c r="AB20" s="91"/>
      <c r="AC20" s="91"/>
      <c r="AD20" s="91"/>
      <c r="AE20" s="91"/>
      <c r="AF20" s="91"/>
      <c r="AG20" s="91"/>
      <c r="AH20" s="91"/>
      <c r="AI20" s="91"/>
      <c r="AJ20" s="91"/>
      <c r="AM20" s="62"/>
      <c r="AN20" s="62"/>
      <c r="AO20" s="62"/>
      <c r="AP20" s="33"/>
      <c r="AQ20" s="62"/>
      <c r="AR20" s="33"/>
      <c r="AS20" s="33"/>
      <c r="AT20" s="33"/>
    </row>
    <row r="21" spans="1:46" ht="12.75">
      <c r="A21" s="135"/>
      <c r="B21" s="540" t="s">
        <v>243</v>
      </c>
      <c r="C21" s="247"/>
      <c r="D21" s="79"/>
      <c r="E21" s="79"/>
      <c r="F21" s="124"/>
      <c r="G21" s="134" t="s">
        <v>17</v>
      </c>
      <c r="H21" s="124"/>
      <c r="I21" s="84"/>
      <c r="J21" s="133"/>
      <c r="K21" s="134" t="s">
        <v>17</v>
      </c>
      <c r="L21" s="134" t="s">
        <v>17</v>
      </c>
      <c r="M21" s="134" t="s">
        <v>17</v>
      </c>
      <c r="N21" s="134" t="s">
        <v>17</v>
      </c>
      <c r="O21" s="134" t="s">
        <v>17</v>
      </c>
      <c r="Q21" s="56"/>
      <c r="R21" s="33"/>
      <c r="S21" s="33"/>
      <c r="T21" s="33"/>
      <c r="U21" s="33"/>
      <c r="X21" s="33"/>
      <c r="Y21" s="33"/>
      <c r="AB21" s="60"/>
      <c r="AC21" s="60"/>
      <c r="AD21" s="60"/>
      <c r="AE21" s="60"/>
      <c r="AF21" s="60"/>
      <c r="AG21" s="60"/>
      <c r="AH21" s="60"/>
      <c r="AI21" s="60"/>
      <c r="AJ21" s="60"/>
      <c r="AM21" s="62"/>
      <c r="AN21" s="62"/>
      <c r="AO21" s="33"/>
      <c r="AP21" s="33"/>
      <c r="AQ21" s="33"/>
      <c r="AR21" s="33"/>
      <c r="AS21" s="33"/>
      <c r="AT21" s="33"/>
    </row>
    <row r="22" spans="1:46" ht="12.75">
      <c r="A22" s="101"/>
      <c r="B22" s="538" t="s">
        <v>255</v>
      </c>
      <c r="C22" s="247"/>
      <c r="D22" s="69"/>
      <c r="E22" s="69"/>
      <c r="F22" s="124"/>
      <c r="G22" s="134" t="s">
        <v>17</v>
      </c>
      <c r="H22" s="124"/>
      <c r="I22" s="84"/>
      <c r="J22" s="133"/>
      <c r="K22" s="134" t="s">
        <v>17</v>
      </c>
      <c r="L22" s="134" t="s">
        <v>17</v>
      </c>
      <c r="M22" s="134" t="s">
        <v>17</v>
      </c>
      <c r="N22" s="134" t="s">
        <v>17</v>
      </c>
      <c r="O22" s="134" t="s">
        <v>17</v>
      </c>
      <c r="Q22" s="101"/>
      <c r="AB22" s="60"/>
      <c r="AC22" s="60"/>
      <c r="AD22" s="60"/>
      <c r="AE22" s="60"/>
      <c r="AF22" s="60"/>
      <c r="AG22" s="60"/>
      <c r="AH22" s="60"/>
      <c r="AI22" s="60"/>
      <c r="AJ22" s="60"/>
      <c r="AM22" s="33"/>
      <c r="AN22" s="33"/>
      <c r="AO22" s="33"/>
      <c r="AP22" s="33"/>
      <c r="AQ22" s="125"/>
      <c r="AR22" s="125"/>
      <c r="AS22" s="125"/>
      <c r="AT22" s="125"/>
    </row>
    <row r="23" spans="1:46" ht="12.75">
      <c r="A23" s="101"/>
      <c r="B23" s="540" t="s">
        <v>256</v>
      </c>
      <c r="C23" s="247"/>
      <c r="D23" s="69"/>
      <c r="E23" s="69"/>
      <c r="F23" s="124"/>
      <c r="G23" s="134" t="s">
        <v>17</v>
      </c>
      <c r="H23" s="124"/>
      <c r="I23" s="84"/>
      <c r="J23" s="133"/>
      <c r="K23" s="134" t="s">
        <v>17</v>
      </c>
      <c r="L23" s="134" t="s">
        <v>17</v>
      </c>
      <c r="M23" s="134" t="s">
        <v>17</v>
      </c>
      <c r="N23" s="134" t="s">
        <v>17</v>
      </c>
      <c r="O23" s="134" t="s">
        <v>17</v>
      </c>
      <c r="T23" s="57"/>
      <c r="U23" s="57"/>
      <c r="V23" s="57"/>
      <c r="W23" s="53"/>
      <c r="X23" s="57"/>
      <c r="Y23" s="57"/>
      <c r="Z23" s="57"/>
      <c r="AA23" s="53"/>
      <c r="AB23" s="96"/>
      <c r="AC23" s="96"/>
      <c r="AD23" s="96"/>
      <c r="AE23" s="96"/>
      <c r="AF23" s="96"/>
      <c r="AG23" s="96"/>
      <c r="AH23" s="96"/>
      <c r="AI23" s="96"/>
      <c r="AJ23" s="96"/>
      <c r="AM23" s="33"/>
      <c r="AN23" s="33"/>
      <c r="AO23" s="33"/>
      <c r="AP23" s="33"/>
      <c r="AQ23" s="126"/>
      <c r="AR23" s="126"/>
      <c r="AS23" s="126"/>
      <c r="AT23" s="126"/>
    </row>
    <row r="24" spans="1:46" ht="12.75">
      <c r="A24" s="83"/>
      <c r="B24" s="538" t="s">
        <v>257</v>
      </c>
      <c r="C24" s="247"/>
      <c r="D24" s="79"/>
      <c r="E24" s="79"/>
      <c r="F24" s="79"/>
      <c r="G24" s="134" t="s">
        <v>17</v>
      </c>
      <c r="H24" s="79"/>
      <c r="I24" s="80"/>
      <c r="J24" s="80"/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65"/>
      <c r="T24" s="53"/>
      <c r="U24" s="53"/>
      <c r="V24" s="53"/>
      <c r="W24" s="53"/>
      <c r="X24" s="53"/>
      <c r="Y24" s="53"/>
      <c r="Z24" s="53"/>
      <c r="AA24" s="53"/>
      <c r="AB24" s="97"/>
      <c r="AC24" s="97"/>
      <c r="AD24" s="97"/>
      <c r="AE24" s="97"/>
      <c r="AF24" s="97"/>
      <c r="AG24" s="97"/>
      <c r="AH24" s="97"/>
      <c r="AI24" s="97"/>
      <c r="AJ24" s="97"/>
      <c r="AM24" s="56"/>
      <c r="AN24" s="33"/>
      <c r="AO24" s="75"/>
      <c r="AP24" s="33"/>
      <c r="AQ24" s="120"/>
      <c r="AR24" s="120"/>
      <c r="AS24" s="127"/>
      <c r="AT24" s="127"/>
    </row>
    <row r="25" spans="1:46" ht="12.75">
      <c r="A25" s="83"/>
      <c r="B25" s="540" t="s">
        <v>258</v>
      </c>
      <c r="C25" s="247"/>
      <c r="D25" s="79"/>
      <c r="E25" s="79"/>
      <c r="F25" s="79"/>
      <c r="G25" s="134" t="s">
        <v>17</v>
      </c>
      <c r="H25" s="79"/>
      <c r="I25" s="80"/>
      <c r="J25" s="80"/>
      <c r="K25" s="134" t="s">
        <v>17</v>
      </c>
      <c r="L25" s="134" t="s">
        <v>17</v>
      </c>
      <c r="M25" s="134" t="s">
        <v>17</v>
      </c>
      <c r="N25" s="134" t="s">
        <v>17</v>
      </c>
      <c r="O25" s="134" t="s">
        <v>17</v>
      </c>
      <c r="P25" s="62"/>
      <c r="Q25" s="102"/>
      <c r="R25" s="33"/>
      <c r="S25" s="33"/>
      <c r="T25" s="104"/>
      <c r="U25" s="104"/>
      <c r="V25" s="104"/>
      <c r="W25" s="33"/>
      <c r="X25" s="50"/>
      <c r="Y25" s="50"/>
      <c r="Z25" s="50"/>
      <c r="AA25" s="50"/>
      <c r="AB25" s="62"/>
      <c r="AC25" s="33"/>
      <c r="AD25" s="33"/>
      <c r="AE25" s="33"/>
      <c r="AF25" s="33"/>
      <c r="AG25" s="33"/>
      <c r="AH25" s="33"/>
      <c r="AI25" s="33"/>
      <c r="AJ25" s="33"/>
      <c r="AM25" s="33"/>
      <c r="AN25" s="33"/>
      <c r="AO25" s="33"/>
      <c r="AP25" s="33"/>
      <c r="AQ25" s="120"/>
      <c r="AR25" s="120"/>
      <c r="AS25" s="120"/>
      <c r="AT25" s="120"/>
    </row>
    <row r="26" spans="1:46" ht="12.75">
      <c r="A26" s="38"/>
      <c r="B26" s="538" t="s">
        <v>259</v>
      </c>
      <c r="C26" s="247"/>
      <c r="D26" s="79"/>
      <c r="E26" s="79"/>
      <c r="F26" s="79"/>
      <c r="G26" s="134" t="s">
        <v>17</v>
      </c>
      <c r="H26" s="85"/>
      <c r="I26" s="80"/>
      <c r="J26" s="136"/>
      <c r="K26" s="134" t="s">
        <v>17</v>
      </c>
      <c r="L26" s="134" t="s">
        <v>17</v>
      </c>
      <c r="M26" s="134" t="s">
        <v>17</v>
      </c>
      <c r="N26" s="134" t="s">
        <v>17</v>
      </c>
      <c r="O26" s="134" t="s">
        <v>17</v>
      </c>
      <c r="P26" s="62"/>
      <c r="Q26" s="102"/>
      <c r="R26" s="33"/>
      <c r="S26" s="33"/>
      <c r="T26" s="104"/>
      <c r="U26" s="104"/>
      <c r="V26" s="104"/>
      <c r="W26" s="33"/>
      <c r="X26" s="50"/>
      <c r="Y26" s="50"/>
      <c r="Z26" s="50"/>
      <c r="AA26" s="50"/>
      <c r="AB26" s="62"/>
      <c r="AC26" s="33"/>
      <c r="AD26" s="33"/>
      <c r="AE26" s="33"/>
      <c r="AF26" s="33"/>
      <c r="AG26" s="33"/>
      <c r="AH26" s="33"/>
      <c r="AI26" s="33"/>
      <c r="AJ26" s="33"/>
      <c r="AM26" s="33"/>
      <c r="AN26" s="33"/>
      <c r="AO26" s="33"/>
      <c r="AP26" s="33"/>
      <c r="AQ26" s="120"/>
      <c r="AR26" s="120"/>
      <c r="AS26" s="120"/>
      <c r="AT26" s="120"/>
    </row>
    <row r="27" spans="1:46" ht="13.5" thickBot="1">
      <c r="A27" s="41"/>
      <c r="B27" s="551" t="s">
        <v>260</v>
      </c>
      <c r="C27" s="552"/>
      <c r="D27" s="147"/>
      <c r="E27" s="147"/>
      <c r="F27" s="147"/>
      <c r="G27" s="134" t="s">
        <v>17</v>
      </c>
      <c r="H27" s="146"/>
      <c r="I27" s="121"/>
      <c r="J27" s="122"/>
      <c r="K27" s="134" t="s">
        <v>17</v>
      </c>
      <c r="L27" s="134" t="s">
        <v>17</v>
      </c>
      <c r="M27" s="134" t="s">
        <v>17</v>
      </c>
      <c r="N27" s="134" t="s">
        <v>17</v>
      </c>
      <c r="O27" s="134" t="s">
        <v>17</v>
      </c>
      <c r="P27" s="92"/>
      <c r="Q27" s="102"/>
      <c r="R27" s="103"/>
      <c r="S27" s="103"/>
      <c r="V27" s="50"/>
      <c r="W27" s="50"/>
      <c r="X27" s="50"/>
      <c r="Y27" s="50"/>
      <c r="Z27" s="50"/>
      <c r="AA27" s="50"/>
      <c r="AB27" s="12"/>
      <c r="AC27" s="12"/>
      <c r="AD27" s="12"/>
      <c r="AE27" s="12"/>
      <c r="AF27" s="12"/>
      <c r="AG27" s="12"/>
      <c r="AH27" s="12"/>
      <c r="AI27" s="12"/>
      <c r="AJ27" s="12"/>
      <c r="AM27" s="76"/>
      <c r="AN27" s="52"/>
      <c r="AO27" s="75"/>
      <c r="AP27" s="33"/>
      <c r="AQ27" s="120"/>
      <c r="AR27" s="120"/>
      <c r="AS27" s="127"/>
      <c r="AT27" s="127"/>
    </row>
    <row r="28" spans="1:46" ht="14.25" thickBot="1" thickTop="1">
      <c r="A28" s="51"/>
      <c r="B28" s="553" t="s">
        <v>244</v>
      </c>
      <c r="C28" s="554"/>
      <c r="D28" s="148">
        <f>SUM(D11:D18)+SUM(D20:D27)</f>
        <v>3.6398058147968033</v>
      </c>
      <c r="E28" s="148">
        <f>SUM(E11:E18)+SUM(E20:E27)</f>
        <v>1.5144207565489105</v>
      </c>
      <c r="F28" s="148">
        <f>SUM(F11:F18)+SUM(F20:F27)</f>
        <v>2.125385058247893</v>
      </c>
      <c r="G28" s="174">
        <v>9</v>
      </c>
      <c r="H28" s="150" t="s">
        <v>17</v>
      </c>
      <c r="I28" s="148">
        <f>SUM(I11:I18)+SUM(I20:I27)</f>
        <v>1.3900247454928838</v>
      </c>
      <c r="J28" s="148">
        <f>SUM(J11:J18)+SUM(J20:J27)</f>
        <v>1.891250336797216</v>
      </c>
      <c r="K28" s="131">
        <f>1/(1+I28/D28)</f>
        <v>0.7236438228223683</v>
      </c>
      <c r="L28" s="131">
        <f>K28*D28+((1-K28)*G28)</f>
        <v>5.121128588749329</v>
      </c>
      <c r="M28" s="131">
        <f>1/(1+(J28/D28))</f>
        <v>0.6580670517596954</v>
      </c>
      <c r="N28" s="131">
        <f>+M28*D28+(1-M28)*G28</f>
        <v>5.47263281568387</v>
      </c>
      <c r="O28" s="132">
        <f>(L28+N28)/2</f>
        <v>5.296880702216599</v>
      </c>
      <c r="P28" s="9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M28" s="52"/>
      <c r="AN28" s="52"/>
      <c r="AO28" s="33"/>
      <c r="AP28" s="33"/>
      <c r="AQ28" s="120"/>
      <c r="AR28" s="120"/>
      <c r="AS28" s="120"/>
      <c r="AT28" s="120"/>
    </row>
    <row r="29" spans="1:46" ht="12.75">
      <c r="A29" s="48"/>
      <c r="B29" s="61"/>
      <c r="C29" s="55"/>
      <c r="D29" s="55"/>
      <c r="F29" s="48"/>
      <c r="H29" s="48"/>
      <c r="J29" s="48"/>
      <c r="K29" s="48"/>
      <c r="L29" s="48"/>
      <c r="P29" s="9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M29" s="52"/>
      <c r="AN29" s="52"/>
      <c r="AO29" s="75"/>
      <c r="AP29" s="38"/>
      <c r="AQ29" s="38"/>
      <c r="AR29" s="38"/>
      <c r="AS29" s="38"/>
      <c r="AT29" s="38"/>
    </row>
    <row r="30" spans="1:46" ht="12.75">
      <c r="A30" s="60"/>
      <c r="B30" s="61"/>
      <c r="C30" s="106"/>
      <c r="D30" s="60"/>
      <c r="E30" s="60"/>
      <c r="F30" s="60"/>
      <c r="G30" s="33"/>
      <c r="H30" s="60"/>
      <c r="J30" s="60"/>
      <c r="K30" s="60"/>
      <c r="L30" s="60"/>
      <c r="P30" s="9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M30" s="114"/>
      <c r="AN30" s="114"/>
      <c r="AO30" s="107"/>
      <c r="AP30" s="107"/>
      <c r="AQ30" s="107"/>
      <c r="AR30" s="107"/>
      <c r="AS30" s="107"/>
      <c r="AT30" s="107"/>
    </row>
    <row r="31" spans="2:46" ht="12.75">
      <c r="B31" s="61"/>
      <c r="C31" s="56"/>
      <c r="D31" s="33"/>
      <c r="E31" s="33"/>
      <c r="J31" s="75"/>
      <c r="K31" s="33"/>
      <c r="P31" s="9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M31" s="46"/>
      <c r="AN31" s="107"/>
      <c r="AO31" s="107"/>
      <c r="AP31" s="107"/>
      <c r="AQ31" s="107"/>
      <c r="AR31" s="107"/>
      <c r="AS31" s="107"/>
      <c r="AT31" s="107"/>
    </row>
    <row r="32" spans="2:46" ht="12.75">
      <c r="B32" s="61"/>
      <c r="C32" s="75"/>
      <c r="D32" s="75"/>
      <c r="E32" s="75"/>
      <c r="F32" s="76"/>
      <c r="G32" s="52"/>
      <c r="H32" s="76"/>
      <c r="J32" s="33"/>
      <c r="K32" s="33"/>
      <c r="L32" s="75"/>
      <c r="M32" s="33"/>
      <c r="P32" s="9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M32" s="128"/>
      <c r="AN32" s="114"/>
      <c r="AO32" s="107"/>
      <c r="AP32" s="107"/>
      <c r="AQ32" s="107"/>
      <c r="AR32" s="107"/>
      <c r="AS32" s="107"/>
      <c r="AT32" s="107"/>
    </row>
    <row r="33" spans="2:46" ht="13.5" thickBot="1">
      <c r="B33" s="61"/>
      <c r="C33" s="56"/>
      <c r="D33" s="33"/>
      <c r="E33" s="33"/>
      <c r="K33" s="38"/>
      <c r="L33" s="50"/>
      <c r="M33" s="33"/>
      <c r="P33" s="9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M33" s="107"/>
      <c r="AN33" s="107"/>
      <c r="AO33" s="107"/>
      <c r="AP33" s="107"/>
      <c r="AQ33" s="107"/>
      <c r="AR33" s="107"/>
      <c r="AS33" s="107"/>
      <c r="AT33" s="107"/>
    </row>
    <row r="34" spans="2:46" ht="13.5" thickTop="1">
      <c r="B34" s="555" t="s">
        <v>295</v>
      </c>
      <c r="C34" s="556"/>
      <c r="D34" s="556"/>
      <c r="E34" s="556"/>
      <c r="F34" s="556"/>
      <c r="G34" s="556"/>
      <c r="H34" s="556"/>
      <c r="I34" s="556"/>
      <c r="J34" s="556"/>
      <c r="K34" s="38"/>
      <c r="L34" s="50"/>
      <c r="M34" s="33"/>
      <c r="P34" s="9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2"/>
      <c r="AC34" s="62"/>
      <c r="AD34" s="62"/>
      <c r="AE34" s="62"/>
      <c r="AF34" s="62"/>
      <c r="AG34" s="62"/>
      <c r="AH34" s="62"/>
      <c r="AI34" s="62"/>
      <c r="AJ34" s="62"/>
      <c r="AM34" s="107"/>
      <c r="AN34" s="107"/>
      <c r="AO34" s="107"/>
      <c r="AP34" s="107"/>
      <c r="AQ34" s="107"/>
      <c r="AR34" s="107"/>
      <c r="AS34" s="107"/>
      <c r="AT34" s="107"/>
    </row>
    <row r="35" spans="1:46" ht="13.5" thickBot="1">
      <c r="A35" s="41"/>
      <c r="B35" s="557"/>
      <c r="C35" s="557"/>
      <c r="D35" s="557"/>
      <c r="E35" s="557"/>
      <c r="F35" s="557"/>
      <c r="G35" s="557"/>
      <c r="H35" s="557"/>
      <c r="I35" s="557"/>
      <c r="J35" s="557"/>
      <c r="K35" s="38"/>
      <c r="L35" s="50"/>
      <c r="M35" s="33"/>
      <c r="P35" s="9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M35" s="107"/>
      <c r="AN35" s="107"/>
      <c r="AO35" s="107"/>
      <c r="AP35" s="107"/>
      <c r="AQ35" s="107"/>
      <c r="AR35" s="107"/>
      <c r="AS35" s="107"/>
      <c r="AT35" s="107"/>
    </row>
    <row r="36" spans="1:45" ht="12.75">
      <c r="A36" s="107"/>
      <c r="B36" s="230" t="s">
        <v>19</v>
      </c>
      <c r="C36" s="231"/>
      <c r="D36" s="231"/>
      <c r="E36" s="232" t="s">
        <v>20</v>
      </c>
      <c r="F36" s="231"/>
      <c r="G36" s="231"/>
      <c r="H36" s="232" t="s">
        <v>21</v>
      </c>
      <c r="I36" s="231"/>
      <c r="J36" s="235"/>
      <c r="K36" s="108"/>
      <c r="L36" s="75"/>
      <c r="M36" s="33"/>
      <c r="P36" s="92"/>
      <c r="S36" s="94"/>
      <c r="T36" s="12"/>
      <c r="U36" s="12"/>
      <c r="V36" s="12"/>
      <c r="W36" s="12"/>
      <c r="X36" s="12"/>
      <c r="Y36" s="12"/>
      <c r="Z36" s="12"/>
      <c r="AA36" s="12"/>
      <c r="AB36" s="94"/>
      <c r="AC36" s="12"/>
      <c r="AD36" s="12"/>
      <c r="AE36" s="12"/>
      <c r="AF36" s="12"/>
      <c r="AG36" s="12"/>
      <c r="AH36" s="12"/>
      <c r="AI36" s="12"/>
      <c r="AJ36" s="12"/>
      <c r="AM36" s="60"/>
      <c r="AN36" s="53"/>
      <c r="AO36" s="53"/>
      <c r="AP36" s="53"/>
      <c r="AQ36" s="53"/>
      <c r="AR36" s="53"/>
      <c r="AS36" s="101"/>
    </row>
    <row r="37" spans="1:45" ht="13.5">
      <c r="A37" s="107"/>
      <c r="B37" s="558" t="s">
        <v>49</v>
      </c>
      <c r="C37" s="206"/>
      <c r="D37" s="206"/>
      <c r="E37" s="548" t="s">
        <v>283</v>
      </c>
      <c r="F37" s="549"/>
      <c r="G37" s="549"/>
      <c r="H37" s="548" t="s">
        <v>284</v>
      </c>
      <c r="I37" s="549"/>
      <c r="J37" s="550"/>
      <c r="K37" s="52"/>
      <c r="L37" s="50"/>
      <c r="M37" s="33"/>
      <c r="P37" s="92"/>
      <c r="S37" s="94"/>
      <c r="T37" s="12"/>
      <c r="U37" s="12"/>
      <c r="V37" s="12"/>
      <c r="W37" s="12"/>
      <c r="X37" s="12"/>
      <c r="Y37" s="12"/>
      <c r="Z37" s="12"/>
      <c r="AA37" s="12"/>
      <c r="AB37" s="94"/>
      <c r="AC37" s="12"/>
      <c r="AD37" s="12"/>
      <c r="AE37" s="12"/>
      <c r="AF37" s="12"/>
      <c r="AG37" s="12"/>
      <c r="AH37" s="12"/>
      <c r="AI37" s="12"/>
      <c r="AJ37" s="12"/>
      <c r="AM37" s="60"/>
      <c r="AN37" s="53"/>
      <c r="AO37" s="53"/>
      <c r="AP37" s="53"/>
      <c r="AQ37" s="53"/>
      <c r="AR37" s="53"/>
      <c r="AS37" s="101"/>
    </row>
    <row r="38" spans="1:45" ht="15.75">
      <c r="A38" s="105"/>
      <c r="B38" s="540" t="s">
        <v>39</v>
      </c>
      <c r="C38" s="237"/>
      <c r="D38" s="237"/>
      <c r="E38" s="525" t="s">
        <v>296</v>
      </c>
      <c r="F38" s="294"/>
      <c r="G38" s="294"/>
      <c r="H38" s="525" t="s">
        <v>299</v>
      </c>
      <c r="I38" s="294"/>
      <c r="J38" s="526"/>
      <c r="K38" s="61"/>
      <c r="L38" s="61"/>
      <c r="M38" s="61"/>
      <c r="N38" s="61"/>
      <c r="P38" s="92"/>
      <c r="S38" s="94"/>
      <c r="T38" s="12"/>
      <c r="U38" s="12"/>
      <c r="V38" s="12"/>
      <c r="W38" s="12"/>
      <c r="X38" s="12"/>
      <c r="Y38" s="12"/>
      <c r="Z38" s="12"/>
      <c r="AA38" s="12"/>
      <c r="AB38" s="94"/>
      <c r="AC38" s="12"/>
      <c r="AD38" s="12"/>
      <c r="AE38" s="12"/>
      <c r="AF38" s="12"/>
      <c r="AG38" s="12"/>
      <c r="AH38" s="12"/>
      <c r="AI38" s="12"/>
      <c r="AJ38" s="12"/>
      <c r="AM38" s="60"/>
      <c r="AN38" s="53"/>
      <c r="AO38" s="53"/>
      <c r="AP38" s="53"/>
      <c r="AQ38" s="53"/>
      <c r="AR38" s="53"/>
      <c r="AS38" s="101"/>
    </row>
    <row r="39" spans="1:54" ht="12.75">
      <c r="A39" s="49"/>
      <c r="B39" s="238"/>
      <c r="C39" s="237"/>
      <c r="D39" s="237"/>
      <c r="E39" s="527">
        <f>+D28</f>
        <v>3.6398058147968033</v>
      </c>
      <c r="F39" s="528"/>
      <c r="G39" s="529"/>
      <c r="H39" s="527">
        <f>+O28</f>
        <v>5.296880702216599</v>
      </c>
      <c r="I39" s="328"/>
      <c r="J39" s="328"/>
      <c r="K39" s="49"/>
      <c r="L39" s="49"/>
      <c r="M39" s="49"/>
      <c r="P39" s="9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M39" s="53"/>
      <c r="AN39" s="53"/>
      <c r="AO39" s="53"/>
      <c r="AP39" s="53"/>
      <c r="AQ39" s="53"/>
      <c r="AR39" s="53"/>
      <c r="AS39" s="101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ht="15.75">
      <c r="A40" s="53"/>
      <c r="B40" s="540" t="s">
        <v>287</v>
      </c>
      <c r="C40" s="237"/>
      <c r="D40" s="237"/>
      <c r="E40" s="525" t="s">
        <v>297</v>
      </c>
      <c r="F40" s="294"/>
      <c r="G40" s="294"/>
      <c r="H40" s="525" t="s">
        <v>291</v>
      </c>
      <c r="I40" s="294"/>
      <c r="J40" s="526"/>
      <c r="K40" s="53"/>
      <c r="L40" s="53"/>
      <c r="M40" s="54"/>
      <c r="P40" s="9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M40" s="51"/>
      <c r="AP40" s="62"/>
      <c r="AT40" s="33"/>
      <c r="AY40" s="33"/>
      <c r="AZ40" s="33"/>
      <c r="BA40" s="33"/>
      <c r="BB40" s="33"/>
    </row>
    <row r="41" spans="1:53" ht="12.75">
      <c r="A41" s="51"/>
      <c r="B41" s="238"/>
      <c r="C41" s="237"/>
      <c r="D41" s="237"/>
      <c r="E41" s="520">
        <f>+E28</f>
        <v>1.5144207565489105</v>
      </c>
      <c r="F41" s="521"/>
      <c r="G41" s="522"/>
      <c r="H41" s="523">
        <f>+O28*E28/D28</f>
        <v>2.203882978534119</v>
      </c>
      <c r="I41" s="524"/>
      <c r="J41" s="524"/>
      <c r="K41" s="33"/>
      <c r="L41" s="33"/>
      <c r="M41" s="33"/>
      <c r="P41" s="9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M41" s="65"/>
      <c r="AN41" s="61"/>
      <c r="AO41" s="33"/>
      <c r="AP41" s="64"/>
      <c r="AQ41" s="62"/>
      <c r="AR41" s="66"/>
      <c r="AT41" s="62"/>
      <c r="AY41" s="62"/>
      <c r="AZ41" s="62"/>
      <c r="BA41" s="62"/>
    </row>
    <row r="42" spans="1:53" ht="15.75">
      <c r="A42" s="48"/>
      <c r="B42" s="541" t="s">
        <v>288</v>
      </c>
      <c r="C42" s="542"/>
      <c r="D42" s="542"/>
      <c r="E42" s="525" t="s">
        <v>298</v>
      </c>
      <c r="F42" s="294"/>
      <c r="G42" s="294"/>
      <c r="H42" s="525" t="s">
        <v>292</v>
      </c>
      <c r="I42" s="294"/>
      <c r="J42" s="526"/>
      <c r="K42" s="55"/>
      <c r="L42" s="55"/>
      <c r="M42" s="33"/>
      <c r="P42" s="9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M42" s="56"/>
      <c r="AN42" s="33"/>
      <c r="AP42" s="67"/>
      <c r="AQ42" s="33"/>
      <c r="AR42" s="67"/>
      <c r="AS42" s="67"/>
      <c r="AY42" s="62"/>
      <c r="AZ42" s="62"/>
      <c r="BA42" s="62"/>
    </row>
    <row r="43" spans="1:53" ht="13.5" thickBot="1">
      <c r="A43" s="60"/>
      <c r="B43" s="543"/>
      <c r="C43" s="544"/>
      <c r="D43" s="544"/>
      <c r="E43" s="532">
        <f>+F28</f>
        <v>2.125385058247893</v>
      </c>
      <c r="F43" s="533"/>
      <c r="G43" s="534"/>
      <c r="H43" s="535">
        <f>+O28*F28/D28</f>
        <v>3.0929977236824797</v>
      </c>
      <c r="I43" s="536"/>
      <c r="J43" s="536"/>
      <c r="K43" s="60"/>
      <c r="L43" s="60"/>
      <c r="M43" s="60"/>
      <c r="P43" s="9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M43" s="56"/>
      <c r="AN43" s="33"/>
      <c r="AP43" s="67"/>
      <c r="AQ43" s="33"/>
      <c r="AR43" s="67"/>
      <c r="AS43" s="67"/>
      <c r="AY43" s="62"/>
      <c r="AZ43" s="62"/>
      <c r="BA43" s="64"/>
    </row>
    <row r="44" spans="1:53" ht="12.75">
      <c r="A44" s="60"/>
      <c r="C44" s="48"/>
      <c r="D44" s="48"/>
      <c r="E44" s="48"/>
      <c r="F44" s="55"/>
      <c r="G44" s="48"/>
      <c r="H44" s="48"/>
      <c r="I44" s="55"/>
      <c r="K44" s="33"/>
      <c r="L44" s="33"/>
      <c r="M44" s="33"/>
      <c r="AM44" s="56"/>
      <c r="AN44" s="33"/>
      <c r="AP44" s="50"/>
      <c r="AQ44" s="33"/>
      <c r="AR44" s="67"/>
      <c r="AS44" s="67"/>
      <c r="AY44" s="33"/>
      <c r="AZ44" s="46"/>
      <c r="BA44" s="40"/>
    </row>
    <row r="45" spans="1:13" ht="12.75">
      <c r="A45" s="33"/>
      <c r="B45" s="33"/>
      <c r="C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76"/>
      <c r="D46" s="110"/>
      <c r="E46" s="77"/>
      <c r="F46" s="76"/>
      <c r="G46" s="110"/>
      <c r="H46" s="77"/>
      <c r="I46" s="76"/>
      <c r="J46" s="110"/>
      <c r="K46" s="76"/>
      <c r="L46" s="110"/>
      <c r="M46" s="77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3:13" ht="12.7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38"/>
      <c r="B49" s="38"/>
      <c r="C49" s="38"/>
      <c r="D49" s="75"/>
      <c r="E49" s="38"/>
      <c r="F49" s="38"/>
      <c r="G49" s="55"/>
      <c r="I49" s="38"/>
      <c r="J49" s="75"/>
      <c r="K49" s="38"/>
      <c r="L49" s="75"/>
      <c r="M49" s="33"/>
    </row>
    <row r="50" spans="1:13" ht="12.75">
      <c r="A50" s="8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8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6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8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8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8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4" ht="12.75">
      <c r="A56" s="105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3:13" ht="12.75">
      <c r="C57" s="50"/>
      <c r="D57" s="50"/>
      <c r="E57" s="50"/>
      <c r="F57" s="50"/>
      <c r="G57" s="33"/>
      <c r="H57" s="50"/>
      <c r="I57" s="50"/>
      <c r="J57" s="50"/>
      <c r="K57" s="33"/>
      <c r="L57" s="50"/>
      <c r="M57" s="50"/>
    </row>
    <row r="58" spans="1:7" ht="12.75">
      <c r="A58" s="62"/>
      <c r="B58" s="33"/>
      <c r="C58" s="33"/>
      <c r="D58" s="33"/>
      <c r="E58" s="33"/>
      <c r="F58" s="33"/>
      <c r="G58" s="33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>
      <c r="A61" s="48"/>
      <c r="B61" s="48"/>
      <c r="C61" s="48"/>
      <c r="E61" s="55"/>
      <c r="F61" s="33"/>
      <c r="G61" s="33"/>
      <c r="H61" s="33"/>
      <c r="I61" s="55"/>
      <c r="J61" s="33"/>
      <c r="K61" s="33"/>
      <c r="L61" s="33"/>
      <c r="M61" s="33"/>
    </row>
    <row r="62" spans="1:13" ht="12.75">
      <c r="A62" s="60"/>
      <c r="B62" s="60"/>
      <c r="C62" s="60"/>
      <c r="D62" s="60"/>
      <c r="E62" s="62"/>
      <c r="F62" s="62"/>
      <c r="G62" s="62"/>
      <c r="H62" s="62"/>
      <c r="I62" s="62"/>
      <c r="J62" s="62"/>
      <c r="K62" s="62"/>
      <c r="L62" s="62"/>
      <c r="M62" s="62"/>
    </row>
    <row r="63" spans="1:11" ht="12.75">
      <c r="A63" s="101"/>
      <c r="B63" s="101"/>
      <c r="C63" s="101"/>
      <c r="D63" s="101"/>
      <c r="E63" s="55"/>
      <c r="I63" s="55"/>
      <c r="J63" s="48"/>
      <c r="K63" s="48"/>
    </row>
    <row r="64" spans="1:13" ht="12.75">
      <c r="A64" s="61"/>
      <c r="B64" s="61"/>
      <c r="C64" s="61"/>
      <c r="E64" s="50"/>
      <c r="F64" s="33"/>
      <c r="G64" s="33"/>
      <c r="H64" s="33"/>
      <c r="I64" s="12"/>
      <c r="J64" s="12"/>
      <c r="K64" s="12"/>
      <c r="L64" s="12"/>
      <c r="M64" s="12"/>
    </row>
    <row r="65" spans="1:13" ht="12.75">
      <c r="A65" s="61"/>
      <c r="B65" s="61"/>
      <c r="C65" s="61"/>
      <c r="E65" s="50"/>
      <c r="F65" s="33"/>
      <c r="G65" s="33"/>
      <c r="H65" s="33"/>
      <c r="I65" s="12"/>
      <c r="J65" s="12"/>
      <c r="K65" s="12"/>
      <c r="L65" s="12"/>
      <c r="M65" s="12"/>
    </row>
    <row r="66" spans="1:13" ht="12.75">
      <c r="A66" s="65"/>
      <c r="B66" s="61"/>
      <c r="C66" s="61"/>
      <c r="E66" s="50"/>
      <c r="F66" s="33"/>
      <c r="G66" s="33"/>
      <c r="H66" s="33"/>
      <c r="I66" s="12"/>
      <c r="J66" s="12"/>
      <c r="K66" s="12"/>
      <c r="L66" s="12"/>
      <c r="M66" s="12"/>
    </row>
    <row r="67" spans="1:13" ht="12.75">
      <c r="A67" s="61"/>
      <c r="B67" s="61"/>
      <c r="C67" s="61"/>
      <c r="E67" s="50"/>
      <c r="F67" s="33"/>
      <c r="G67" s="33"/>
      <c r="H67" s="33"/>
      <c r="I67" s="12"/>
      <c r="J67" s="12"/>
      <c r="K67" s="12"/>
      <c r="L67" s="12"/>
      <c r="M67" s="12"/>
    </row>
    <row r="68" spans="1:14" ht="12.75">
      <c r="A68" s="105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73" spans="1:13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59"/>
      <c r="B74" s="59"/>
      <c r="C74" s="59"/>
      <c r="D74" s="60"/>
      <c r="E74" s="60"/>
      <c r="F74" s="60"/>
      <c r="G74" s="60"/>
      <c r="I74" s="60"/>
      <c r="J74" s="60"/>
      <c r="K74" s="60"/>
      <c r="L74" s="60"/>
      <c r="M74" s="60"/>
    </row>
    <row r="75" spans="1:13" ht="12.75">
      <c r="A75" s="59"/>
      <c r="B75" s="59"/>
      <c r="C75" s="59"/>
      <c r="D75" s="48"/>
      <c r="G75" s="48"/>
      <c r="H75" s="48"/>
      <c r="I75" s="48"/>
      <c r="J75" s="60"/>
      <c r="K75" s="60"/>
      <c r="L75" s="48"/>
      <c r="M75" s="48"/>
    </row>
    <row r="76" spans="1:13" ht="12.75">
      <c r="A76" s="61"/>
      <c r="B76" s="61"/>
      <c r="C76" s="61"/>
      <c r="D76" s="50"/>
      <c r="E76" s="33"/>
      <c r="F76" s="33"/>
      <c r="G76" s="50"/>
      <c r="H76" s="33"/>
      <c r="I76" s="33"/>
      <c r="J76" s="33"/>
      <c r="K76" s="33"/>
      <c r="L76" s="12"/>
      <c r="M76" s="12"/>
    </row>
    <row r="77" spans="1:13" ht="12.75">
      <c r="A77" s="61"/>
      <c r="B77" s="61"/>
      <c r="C77" s="61"/>
      <c r="D77" s="50"/>
      <c r="E77" s="33"/>
      <c r="F77" s="33"/>
      <c r="G77" s="50"/>
      <c r="H77" s="33"/>
      <c r="I77" s="33"/>
      <c r="J77" s="33"/>
      <c r="K77" s="33"/>
      <c r="L77" s="12"/>
      <c r="M77" s="12"/>
    </row>
    <row r="78" spans="1:13" ht="12.75">
      <c r="A78" s="61"/>
      <c r="B78" s="61"/>
      <c r="C78" s="61"/>
      <c r="D78" s="50"/>
      <c r="E78" s="33"/>
      <c r="F78" s="33"/>
      <c r="G78" s="50"/>
      <c r="H78" s="33"/>
      <c r="I78" s="33"/>
      <c r="J78" s="33"/>
      <c r="K78" s="33"/>
      <c r="L78" s="12"/>
      <c r="M78" s="12"/>
    </row>
  </sheetData>
  <sheetProtection/>
  <mergeCells count="64">
    <mergeCell ref="M6:M7"/>
    <mergeCell ref="L8:L9"/>
    <mergeCell ref="I8:I9"/>
    <mergeCell ref="J8:J9"/>
    <mergeCell ref="J6:J7"/>
    <mergeCell ref="K6:K7"/>
    <mergeCell ref="L6:L7"/>
    <mergeCell ref="K8:K9"/>
    <mergeCell ref="B28:C28"/>
    <mergeCell ref="B21:C21"/>
    <mergeCell ref="B37:D37"/>
    <mergeCell ref="E37:G37"/>
    <mergeCell ref="F8:F9"/>
    <mergeCell ref="D6:F7"/>
    <mergeCell ref="B6:C9"/>
    <mergeCell ref="H6:H9"/>
    <mergeCell ref="I6:I7"/>
    <mergeCell ref="B26:C26"/>
    <mergeCell ref="B27:C27"/>
    <mergeCell ref="B20:C20"/>
    <mergeCell ref="B24:C24"/>
    <mergeCell ref="B25:C25"/>
    <mergeCell ref="E8:E9"/>
    <mergeCell ref="G6:G9"/>
    <mergeCell ref="B5:C5"/>
    <mergeCell ref="B19:O19"/>
    <mergeCell ref="B3:O4"/>
    <mergeCell ref="O6:O7"/>
    <mergeCell ref="O8:O9"/>
    <mergeCell ref="B15:C15"/>
    <mergeCell ref="B16:C16"/>
    <mergeCell ref="B17:C17"/>
    <mergeCell ref="B18:C18"/>
    <mergeCell ref="D8:D9"/>
    <mergeCell ref="N6:N7"/>
    <mergeCell ref="M8:M9"/>
    <mergeCell ref="N8:N9"/>
    <mergeCell ref="B10:O10"/>
    <mergeCell ref="B22:C22"/>
    <mergeCell ref="B23:C23"/>
    <mergeCell ref="B11:C11"/>
    <mergeCell ref="B12:C12"/>
    <mergeCell ref="B13:C13"/>
    <mergeCell ref="B14:C14"/>
    <mergeCell ref="E40:G40"/>
    <mergeCell ref="H40:J40"/>
    <mergeCell ref="E41:G41"/>
    <mergeCell ref="H41:J41"/>
    <mergeCell ref="B34:J35"/>
    <mergeCell ref="B36:D36"/>
    <mergeCell ref="E36:G36"/>
    <mergeCell ref="H36:J36"/>
    <mergeCell ref="H37:J37"/>
    <mergeCell ref="B38:D39"/>
    <mergeCell ref="B42:D43"/>
    <mergeCell ref="E42:G42"/>
    <mergeCell ref="H42:J42"/>
    <mergeCell ref="E43:G43"/>
    <mergeCell ref="H43:J43"/>
    <mergeCell ref="E38:G38"/>
    <mergeCell ref="H38:J38"/>
    <mergeCell ref="E39:G39"/>
    <mergeCell ref="H39:J39"/>
    <mergeCell ref="B40:D41"/>
  </mergeCells>
  <dataValidations count="1">
    <dataValidation type="list" allowBlank="1" showInputMessage="1" showErrorMessage="1" sqref="AO41 S21 S7">
      <formula1>Local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P47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0.8515625" style="0" customWidth="1"/>
    <col min="8" max="8" width="12.7109375" style="0" bestFit="1" customWidth="1"/>
    <col min="10" max="10" width="15.00390625" style="0" customWidth="1"/>
    <col min="12" max="12" width="10.7109375" style="0" customWidth="1"/>
    <col min="14" max="14" width="11.57421875" style="0" bestFit="1" customWidth="1"/>
  </cols>
  <sheetData>
    <row r="3" spans="2:6" ht="12.75">
      <c r="B3" s="9" t="s">
        <v>56</v>
      </c>
      <c r="D3" s="9" t="s">
        <v>65</v>
      </c>
      <c r="F3" s="5" t="s">
        <v>66</v>
      </c>
    </row>
    <row r="4" spans="2:6" ht="12.75">
      <c r="B4" s="10">
        <v>9</v>
      </c>
      <c r="D4" s="10">
        <v>0</v>
      </c>
      <c r="F4" s="1">
        <v>1</v>
      </c>
    </row>
    <row r="5" spans="2:6" ht="12.75">
      <c r="B5" s="10">
        <v>9.5</v>
      </c>
      <c r="D5" s="10">
        <v>1</v>
      </c>
      <c r="F5" s="1">
        <v>2</v>
      </c>
    </row>
    <row r="6" spans="2:6" ht="12.75">
      <c r="B6" s="10">
        <v>10</v>
      </c>
      <c r="D6" s="10">
        <v>2</v>
      </c>
      <c r="F6" s="1">
        <v>3</v>
      </c>
    </row>
    <row r="7" spans="2:6" ht="12.75">
      <c r="B7" s="10">
        <v>10.5</v>
      </c>
      <c r="D7" s="10">
        <v>3</v>
      </c>
      <c r="F7" s="1">
        <v>4</v>
      </c>
    </row>
    <row r="8" spans="2:6" ht="12.75">
      <c r="B8" s="10">
        <v>11</v>
      </c>
      <c r="D8" s="10">
        <v>4</v>
      </c>
      <c r="F8" s="1">
        <v>5</v>
      </c>
    </row>
    <row r="9" spans="2:6" ht="12.75">
      <c r="B9" s="10">
        <v>11.5</v>
      </c>
      <c r="D9" s="10">
        <v>5</v>
      </c>
      <c r="F9" s="1">
        <v>6</v>
      </c>
    </row>
    <row r="10" spans="2:6" ht="12.75">
      <c r="B10" s="10">
        <v>12</v>
      </c>
      <c r="D10" s="10">
        <v>6</v>
      </c>
      <c r="F10" s="1">
        <v>7</v>
      </c>
    </row>
    <row r="11" ht="12.75">
      <c r="D11" s="10">
        <v>7</v>
      </c>
    </row>
    <row r="12" ht="12.75">
      <c r="D12" s="10">
        <v>8</v>
      </c>
    </row>
    <row r="15" spans="8:12" ht="12.75">
      <c r="H15" s="5" t="s">
        <v>74</v>
      </c>
      <c r="J15" s="5" t="s">
        <v>76</v>
      </c>
      <c r="L15" s="5" t="s">
        <v>87</v>
      </c>
    </row>
    <row r="16" spans="4:12" ht="12.75">
      <c r="D16" s="5" t="s">
        <v>55</v>
      </c>
      <c r="F16" s="5" t="s">
        <v>71</v>
      </c>
      <c r="H16" s="5" t="s">
        <v>75</v>
      </c>
      <c r="J16" s="5" t="s">
        <v>77</v>
      </c>
      <c r="L16" s="37" t="s">
        <v>88</v>
      </c>
    </row>
    <row r="17" spans="4:12" ht="12.75">
      <c r="D17" s="10" t="s">
        <v>67</v>
      </c>
      <c r="F17" s="10" t="s">
        <v>72</v>
      </c>
      <c r="H17" s="10" t="s">
        <v>72</v>
      </c>
      <c r="J17" s="10" t="s">
        <v>72</v>
      </c>
      <c r="L17" s="37" t="s">
        <v>89</v>
      </c>
    </row>
    <row r="18" spans="4:10" ht="12.75">
      <c r="D18" s="10" t="s">
        <v>68</v>
      </c>
      <c r="F18" s="10" t="s">
        <v>73</v>
      </c>
      <c r="H18" s="10" t="s">
        <v>73</v>
      </c>
      <c r="J18" s="10" t="s">
        <v>82</v>
      </c>
    </row>
    <row r="19" spans="4:10" ht="12.75">
      <c r="D19" s="37" t="s">
        <v>69</v>
      </c>
      <c r="J19" s="10" t="s">
        <v>83</v>
      </c>
    </row>
    <row r="20" ht="12.75">
      <c r="D20" s="10" t="s">
        <v>70</v>
      </c>
    </row>
    <row r="22" spans="6:10" ht="12.75">
      <c r="F22" s="5" t="s">
        <v>57</v>
      </c>
      <c r="H22" s="5" t="s">
        <v>58</v>
      </c>
      <c r="J22" s="5" t="s">
        <v>78</v>
      </c>
    </row>
    <row r="23" spans="6:10" ht="12.75">
      <c r="F23" s="10" t="s">
        <v>72</v>
      </c>
      <c r="H23" s="10" t="s">
        <v>72</v>
      </c>
      <c r="J23" s="10" t="s">
        <v>72</v>
      </c>
    </row>
    <row r="24" spans="6:10" ht="12.75">
      <c r="F24" s="10" t="s">
        <v>73</v>
      </c>
      <c r="H24" s="10" t="s">
        <v>73</v>
      </c>
      <c r="J24" s="10" t="s">
        <v>73</v>
      </c>
    </row>
    <row r="28" spans="4:12" ht="12.75">
      <c r="D28" s="37" t="s">
        <v>98</v>
      </c>
      <c r="F28" s="37" t="s">
        <v>102</v>
      </c>
      <c r="H28" s="37" t="s">
        <v>103</v>
      </c>
      <c r="J28" s="37" t="s">
        <v>104</v>
      </c>
      <c r="L28" s="5" t="s">
        <v>108</v>
      </c>
    </row>
    <row r="29" spans="4:12" ht="12.75">
      <c r="D29" s="37" t="s">
        <v>99</v>
      </c>
      <c r="F29" s="1">
        <v>0</v>
      </c>
      <c r="H29" s="1">
        <v>0</v>
      </c>
      <c r="J29" s="37" t="s">
        <v>72</v>
      </c>
      <c r="L29" s="37" t="s">
        <v>88</v>
      </c>
    </row>
    <row r="30" spans="4:12" ht="12.75">
      <c r="D30" s="37" t="s">
        <v>100</v>
      </c>
      <c r="F30" s="1">
        <v>1</v>
      </c>
      <c r="H30" s="1">
        <v>1</v>
      </c>
      <c r="J30" s="37" t="s">
        <v>73</v>
      </c>
      <c r="L30" s="37" t="s">
        <v>89</v>
      </c>
    </row>
    <row r="31" spans="4:8" ht="12.75">
      <c r="D31" s="37" t="s">
        <v>101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6" ht="12.75">
      <c r="D36" s="5" t="s">
        <v>182</v>
      </c>
      <c r="F36" s="5" t="s">
        <v>185</v>
      </c>
      <c r="H36" s="5" t="s">
        <v>399</v>
      </c>
      <c r="J36" s="5" t="s">
        <v>208</v>
      </c>
      <c r="L36" s="5" t="s">
        <v>233</v>
      </c>
      <c r="N36" s="9" t="s">
        <v>396</v>
      </c>
      <c r="P36" s="5" t="s">
        <v>410</v>
      </c>
    </row>
    <row r="37" spans="4:16" ht="12.75">
      <c r="D37" s="1">
        <v>10</v>
      </c>
      <c r="F37" s="37" t="s">
        <v>183</v>
      </c>
      <c r="H37" s="37" t="s">
        <v>197</v>
      </c>
      <c r="J37" s="10">
        <v>0</v>
      </c>
      <c r="L37" s="1">
        <v>0</v>
      </c>
      <c r="N37" s="1">
        <v>0</v>
      </c>
      <c r="P37" s="10">
        <v>0</v>
      </c>
    </row>
    <row r="38" spans="4:16" ht="12.75">
      <c r="D38" s="1">
        <v>20</v>
      </c>
      <c r="F38" s="37" t="s">
        <v>184</v>
      </c>
      <c r="H38" s="111" t="s">
        <v>398</v>
      </c>
      <c r="J38" s="10">
        <v>1</v>
      </c>
      <c r="L38" s="1">
        <v>1</v>
      </c>
      <c r="N38" s="1">
        <v>1</v>
      </c>
      <c r="P38" s="10">
        <v>1</v>
      </c>
    </row>
    <row r="39" spans="4:16" ht="12.75">
      <c r="D39" s="1">
        <v>30</v>
      </c>
      <c r="F39" s="1"/>
      <c r="H39" s="111" t="s">
        <v>198</v>
      </c>
      <c r="J39" s="10">
        <v>2</v>
      </c>
      <c r="L39" s="1">
        <v>2</v>
      </c>
      <c r="N39" s="1">
        <v>2</v>
      </c>
      <c r="P39" s="10">
        <v>2</v>
      </c>
    </row>
    <row r="40" spans="4:16" ht="12.75">
      <c r="D40" s="1">
        <v>40</v>
      </c>
      <c r="F40" s="1"/>
      <c r="H40" s="112" t="s">
        <v>199</v>
      </c>
      <c r="J40" s="10">
        <v>3</v>
      </c>
      <c r="N40" s="1">
        <v>3</v>
      </c>
      <c r="P40" s="10">
        <v>3</v>
      </c>
    </row>
    <row r="41" spans="4:16" ht="12.75">
      <c r="D41" s="1">
        <v>50</v>
      </c>
      <c r="F41" s="1"/>
      <c r="H41" s="112" t="s">
        <v>200</v>
      </c>
      <c r="J41" s="10">
        <v>4</v>
      </c>
      <c r="N41" s="1">
        <v>4</v>
      </c>
      <c r="P41" s="10">
        <v>4</v>
      </c>
    </row>
    <row r="42" spans="4:16" ht="12.75">
      <c r="D42" s="1">
        <v>60</v>
      </c>
      <c r="F42" s="1"/>
      <c r="H42" s="112" t="s">
        <v>201</v>
      </c>
      <c r="J42" s="10">
        <v>5</v>
      </c>
      <c r="P42" s="10">
        <v>5</v>
      </c>
    </row>
    <row r="43" spans="4:16" ht="12.75">
      <c r="D43" s="1">
        <v>70</v>
      </c>
      <c r="F43" s="1"/>
      <c r="J43" s="10">
        <v>6</v>
      </c>
      <c r="P43" s="10">
        <v>6</v>
      </c>
    </row>
    <row r="44" spans="4:16" ht="12.75">
      <c r="D44" s="1">
        <v>80</v>
      </c>
      <c r="F44" s="1"/>
      <c r="J44" s="10">
        <v>7</v>
      </c>
      <c r="P44" s="10">
        <v>7</v>
      </c>
    </row>
    <row r="45" spans="4:16" ht="12.75">
      <c r="D45" s="1">
        <v>90</v>
      </c>
      <c r="F45" s="1"/>
      <c r="J45" s="10">
        <v>8</v>
      </c>
      <c r="P45" s="10">
        <v>8</v>
      </c>
    </row>
    <row r="46" spans="4:10" ht="12.75">
      <c r="D46" s="1">
        <v>100</v>
      </c>
      <c r="J46" s="37">
        <v>9</v>
      </c>
    </row>
    <row r="47" ht="12.75">
      <c r="J47" s="37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Dixon</dc:creator>
  <cp:keywords/>
  <dc:description>Prepared for HSM Training -- NCHRP 17-38</dc:description>
  <cp:lastModifiedBy>Jose Rodriguez</cp:lastModifiedBy>
  <dcterms:created xsi:type="dcterms:W3CDTF">2009-11-22T21:24:43Z</dcterms:created>
  <dcterms:modified xsi:type="dcterms:W3CDTF">2016-03-15T14:04:31Z</dcterms:modified>
  <cp:category/>
  <cp:version/>
  <cp:contentType/>
  <cp:contentStatus/>
</cp:coreProperties>
</file>